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2.xml" ContentType="application/vnd.openxmlformats-officedocument.drawing+xml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xl/embeddings/oleObject13.bin" ContentType="application/vnd.openxmlformats-officedocument.oleObject"/>
  <Override PartName="/xl/embeddings/oleObject14.bin" ContentType="application/vnd.openxmlformats-officedocument.oleObject"/>
  <Override PartName="/xl/embeddings/oleObject15.bin" ContentType="application/vnd.openxmlformats-officedocument.oleObject"/>
  <Override PartName="/xl/embeddings/oleObject16.bin" ContentType="application/vnd.openxmlformats-officedocument.oleObject"/>
  <Override PartName="/xl/embeddings/oleObject17.bin" ContentType="application/vnd.openxmlformats-officedocument.oleObject"/>
  <Override PartName="/xl/embeddings/oleObject18.bin" ContentType="application/vnd.openxmlformats-officedocument.oleObject"/>
  <Override PartName="/xl/embeddings/oleObject19.bin" ContentType="application/vnd.openxmlformats-officedocument.oleObject"/>
  <Override PartName="/xl/embeddings/oleObject20.bin" ContentType="application/vnd.openxmlformats-officedocument.oleObject"/>
  <Override PartName="/xl/embeddings/oleObject21.bin" ContentType="application/vnd.openxmlformats-officedocument.oleObject"/>
  <Override PartName="/xl/embeddings/oleObject22.bin" ContentType="application/vnd.openxmlformats-officedocument.oleObject"/>
  <Override PartName="/xl/embeddings/oleObject23.bin" ContentType="application/vnd.openxmlformats-officedocument.oleObject"/>
  <Override PartName="/xl/embeddings/oleObject24.bin" ContentType="application/vnd.openxmlformats-officedocument.oleObject"/>
  <Override PartName="/xl/embeddings/oleObject25.bin" ContentType="application/vnd.openxmlformats-officedocument.oleObject"/>
  <Override PartName="/xl/embeddings/oleObject26.bin" ContentType="application/vnd.openxmlformats-officedocument.oleObject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4.xml" ContentType="application/vnd.openxmlformats-officedocument.drawing+xml"/>
  <Override PartName="/xl/embeddings/oleObject27.bin" ContentType="application/vnd.openxmlformats-officedocument.oleObject"/>
  <Override PartName="/xl/embeddings/oleObject28.bin" ContentType="application/vnd.openxmlformats-officedocument.oleObject"/>
  <Override PartName="/xl/embeddings/oleObject29.bin" ContentType="application/vnd.openxmlformats-officedocument.oleObject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GRT_2021\Proy. Instalaciones Sanitarias IE 093 Efrain Arcaya Zevallos\1 Varios\Memoria de calculo\Calculo drenaje pluvial\"/>
    </mc:Choice>
  </mc:AlternateContent>
  <xr:revisionPtr revIDLastSave="0" documentId="13_ncr:1_{9E02521B-C536-4DAE-B0A5-910C3B0CC573}" xr6:coauthVersionLast="47" xr6:coauthVersionMax="47" xr10:uidLastSave="{00000000-0000-0000-0000-000000000000}"/>
  <bookViews>
    <workbookView xWindow="-108" yWindow="-108" windowWidth="23256" windowHeight="12576" tabRatio="761" firstSheet="1" activeTab="6" xr2:uid="{00000000-000D-0000-FFFF-FFFF00000000}"/>
  </bookViews>
  <sheets>
    <sheet name="Registros Pluviómetro" sheetId="1" r:id="rId1"/>
    <sheet name="Precip. Máx. Probable" sheetId="2" r:id="rId2"/>
    <sheet name="Precipitación diaria" sheetId="3" r:id="rId3"/>
    <sheet name="Intensidad de precipitacion" sheetId="4" r:id="rId4"/>
    <sheet name="Regresiones I-D-T" sheetId="5" r:id="rId5"/>
    <sheet name="Cte. Regresión Cuenca" sheetId="6" r:id="rId6"/>
    <sheet name="Curvas IDF Cuenca" sheetId="7" r:id="rId7"/>
    <sheet name="Coef. Escorrent" sheetId="10" r:id="rId8"/>
    <sheet name="IE Efrain Ordinola" sheetId="8" r:id="rId9"/>
  </sheets>
  <definedNames>
    <definedName name="_xlnm.Print_Area" localSheetId="7">'Coef. Escorrent'!$A$1:$E$48</definedName>
    <definedName name="_xlnm.Print_Area" localSheetId="5">'Cte. Regresión Cuenca'!$A$1:$G$50</definedName>
    <definedName name="_xlnm.Print_Area" localSheetId="6">'Curvas IDF Cuenca'!$A$1:$M$68</definedName>
    <definedName name="_xlnm.Print_Area" localSheetId="8">'IE Efrain Ordinola'!$A$1:$G$48</definedName>
    <definedName name="_xlnm.Print_Area" localSheetId="3">'Intensidad de precipitacion'!$A$1:$I$17</definedName>
    <definedName name="_xlnm.Print_Area" localSheetId="2">'Precipitación diaria'!$A$1:$T$20</definedName>
    <definedName name="_xlnm.Print_Area" localSheetId="4">'Regresiones I-D-T'!$A$1:$G$343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3" i="3" l="1"/>
  <c r="E45" i="8"/>
  <c r="E44" i="8"/>
  <c r="E43" i="8"/>
  <c r="E42" i="8"/>
  <c r="E41" i="8"/>
  <c r="E40" i="8"/>
  <c r="E39" i="8"/>
  <c r="E34" i="8"/>
  <c r="E33" i="8"/>
  <c r="E32" i="8"/>
  <c r="E31" i="8"/>
  <c r="E30" i="8"/>
  <c r="E29" i="8"/>
  <c r="E28" i="8"/>
  <c r="E27" i="8"/>
  <c r="E26" i="8"/>
  <c r="E18" i="8"/>
  <c r="E12" i="8"/>
  <c r="E21" i="8"/>
  <c r="E20" i="8"/>
  <c r="E19" i="8"/>
  <c r="E17" i="8"/>
  <c r="E16" i="8"/>
  <c r="E15" i="8"/>
  <c r="E14" i="8"/>
  <c r="E10" i="8"/>
  <c r="E9" i="8"/>
  <c r="C48" i="10" l="1"/>
  <c r="C47" i="10"/>
  <c r="C46" i="10"/>
  <c r="C45" i="10"/>
  <c r="C44" i="10"/>
  <c r="C43" i="10"/>
  <c r="C42" i="10"/>
  <c r="C41" i="10"/>
  <c r="C40" i="10"/>
  <c r="C39" i="10"/>
  <c r="C38" i="10"/>
  <c r="E11" i="8" l="1"/>
  <c r="E8" i="8"/>
  <c r="E13" i="8"/>
  <c r="D20" i="5"/>
  <c r="N14" i="2"/>
  <c r="N13" i="2"/>
  <c r="N12" i="2"/>
  <c r="N11" i="2"/>
  <c r="N10" i="2"/>
  <c r="N9" i="2"/>
  <c r="N8" i="2"/>
  <c r="N6" i="1"/>
  <c r="I21" i="5"/>
  <c r="M45" i="1"/>
  <c r="B45" i="1"/>
  <c r="N7" i="1"/>
  <c r="D6" i="2" s="1"/>
  <c r="N8" i="1"/>
  <c r="D7" i="2" s="1"/>
  <c r="N9" i="1"/>
  <c r="D8" i="2" s="1"/>
  <c r="N10" i="1"/>
  <c r="D9" i="2" s="1"/>
  <c r="N11" i="1"/>
  <c r="D10" i="2" s="1"/>
  <c r="N12" i="1"/>
  <c r="D11" i="2" s="1"/>
  <c r="N13" i="1"/>
  <c r="D12" i="2" s="1"/>
  <c r="N14" i="1"/>
  <c r="D13" i="2" s="1"/>
  <c r="N15" i="1"/>
  <c r="D14" i="2" s="1"/>
  <c r="N16" i="1"/>
  <c r="D15" i="2" s="1"/>
  <c r="N17" i="1"/>
  <c r="D16" i="2" s="1"/>
  <c r="N18" i="1"/>
  <c r="D17" i="2" s="1"/>
  <c r="N19" i="1"/>
  <c r="D18" i="2" s="1"/>
  <c r="N20" i="1"/>
  <c r="D19" i="2" s="1"/>
  <c r="N21" i="1"/>
  <c r="D20" i="2" s="1"/>
  <c r="N22" i="1"/>
  <c r="D21" i="2" s="1"/>
  <c r="N23" i="1"/>
  <c r="D22" i="2" s="1"/>
  <c r="N24" i="1"/>
  <c r="D23" i="2" s="1"/>
  <c r="N25" i="1"/>
  <c r="D24" i="2" s="1"/>
  <c r="N26" i="1"/>
  <c r="D25" i="2" s="1"/>
  <c r="N27" i="1"/>
  <c r="D26" i="2" s="1"/>
  <c r="N28" i="1"/>
  <c r="D27" i="2" s="1"/>
  <c r="N29" i="1"/>
  <c r="D28" i="2" s="1"/>
  <c r="N30" i="1"/>
  <c r="D29" i="2" s="1"/>
  <c r="N31" i="1"/>
  <c r="D30" i="2" s="1"/>
  <c r="N32" i="1"/>
  <c r="D31" i="2" s="1"/>
  <c r="N33" i="1"/>
  <c r="D32" i="2" s="1"/>
  <c r="N34" i="1"/>
  <c r="D33" i="2" s="1"/>
  <c r="N35" i="1"/>
  <c r="D34" i="2" s="1"/>
  <c r="N36" i="1"/>
  <c r="D35" i="2" s="1"/>
  <c r="N37" i="1"/>
  <c r="D36" i="2" s="1"/>
  <c r="N38" i="1"/>
  <c r="D37" i="2" s="1"/>
  <c r="N39" i="1"/>
  <c r="D38" i="2" s="1"/>
  <c r="N40" i="1"/>
  <c r="D39" i="2" s="1"/>
  <c r="N41" i="1"/>
  <c r="D40" i="2" s="1"/>
  <c r="N42" i="1"/>
  <c r="D41" i="2" s="1"/>
  <c r="N43" i="1"/>
  <c r="D42" i="2" s="1"/>
  <c r="N44" i="1"/>
  <c r="D43" i="2" s="1"/>
  <c r="N45" i="1" l="1"/>
  <c r="D5" i="2"/>
  <c r="C45" i="1"/>
  <c r="D45" i="1"/>
  <c r="E45" i="1"/>
  <c r="F45" i="1"/>
  <c r="G45" i="1"/>
  <c r="H45" i="1"/>
  <c r="I45" i="1"/>
  <c r="J45" i="1"/>
  <c r="K45" i="1"/>
  <c r="L45" i="1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5" i="2"/>
  <c r="E25" i="2"/>
  <c r="A5" i="6"/>
  <c r="B19" i="6" s="1"/>
  <c r="A6" i="6"/>
  <c r="B20" i="6" s="1"/>
  <c r="A7" i="6"/>
  <c r="B21" i="6" s="1"/>
  <c r="A8" i="6"/>
  <c r="B22" i="6" s="1"/>
  <c r="A9" i="6"/>
  <c r="B23" i="6" s="1"/>
  <c r="S24" i="6" s="1"/>
  <c r="A10" i="6"/>
  <c r="B24" i="6" s="1"/>
  <c r="A4" i="6"/>
  <c r="B18" i="6" s="1"/>
  <c r="A19" i="6"/>
  <c r="A21" i="5"/>
  <c r="B71" i="5"/>
  <c r="I71" i="5" s="1"/>
  <c r="I23" i="5"/>
  <c r="B73" i="5"/>
  <c r="B121" i="5" s="1"/>
  <c r="B171" i="5" s="1"/>
  <c r="B74" i="5"/>
  <c r="I74" i="5" s="1"/>
  <c r="I27" i="5"/>
  <c r="I29" i="5"/>
  <c r="A70" i="5"/>
  <c r="A118" i="5"/>
  <c r="A168" i="5"/>
  <c r="A169" i="5" s="1"/>
  <c r="A217" i="5"/>
  <c r="A266" i="5"/>
  <c r="A267" i="5" s="1"/>
  <c r="A315" i="5"/>
  <c r="A316" i="5" s="1"/>
  <c r="A317" i="5" s="1"/>
  <c r="B17" i="4"/>
  <c r="B16" i="4"/>
  <c r="B15" i="4"/>
  <c r="B14" i="4"/>
  <c r="B13" i="4"/>
  <c r="B12" i="4"/>
  <c r="B11" i="4"/>
  <c r="B10" i="4"/>
  <c r="B9" i="4"/>
  <c r="B8" i="4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5" i="2"/>
  <c r="B6" i="2"/>
  <c r="B75" i="5"/>
  <c r="B123" i="5" s="1"/>
  <c r="B173" i="5" s="1"/>
  <c r="I173" i="5" s="1"/>
  <c r="B78" i="5"/>
  <c r="B126" i="5" s="1"/>
  <c r="I26" i="5"/>
  <c r="B70" i="5"/>
  <c r="B118" i="5" s="1"/>
  <c r="B168" i="5" s="1"/>
  <c r="B217" i="5" s="1"/>
  <c r="B266" i="5" s="1"/>
  <c r="I22" i="5"/>
  <c r="G20" i="5"/>
  <c r="B30" i="5"/>
  <c r="B69" i="5"/>
  <c r="I20" i="5"/>
  <c r="B77" i="5"/>
  <c r="I77" i="5" s="1"/>
  <c r="I28" i="5"/>
  <c r="I24" i="5"/>
  <c r="I25" i="5"/>
  <c r="B72" i="5"/>
  <c r="B76" i="5"/>
  <c r="I76" i="5" s="1"/>
  <c r="D266" i="5" l="1"/>
  <c r="G266" i="5" s="1"/>
  <c r="I78" i="5"/>
  <c r="B122" i="5"/>
  <c r="I122" i="5" s="1"/>
  <c r="I69" i="5"/>
  <c r="D69" i="5"/>
  <c r="G69" i="5" s="1"/>
  <c r="A71" i="5"/>
  <c r="D71" i="5" s="1"/>
  <c r="G71" i="5" s="1"/>
  <c r="D70" i="5"/>
  <c r="G70" i="5" s="1"/>
  <c r="A22" i="5"/>
  <c r="D22" i="5" s="1"/>
  <c r="G22" i="5" s="1"/>
  <c r="D21" i="5"/>
  <c r="G21" i="5" s="1"/>
  <c r="I73" i="5"/>
  <c r="I123" i="5"/>
  <c r="B117" i="5"/>
  <c r="I70" i="5"/>
  <c r="B119" i="5"/>
  <c r="B222" i="5"/>
  <c r="B271" i="5" s="1"/>
  <c r="B124" i="5"/>
  <c r="B174" i="5" s="1"/>
  <c r="I121" i="5"/>
  <c r="B125" i="5"/>
  <c r="B175" i="5" s="1"/>
  <c r="A318" i="5"/>
  <c r="B220" i="5"/>
  <c r="I171" i="5"/>
  <c r="B79" i="5"/>
  <c r="B120" i="5"/>
  <c r="A170" i="5"/>
  <c r="B176" i="5"/>
  <c r="I126" i="5"/>
  <c r="A119" i="5"/>
  <c r="D118" i="5"/>
  <c r="A20" i="6"/>
  <c r="A21" i="6" s="1"/>
  <c r="A22" i="6" s="1"/>
  <c r="A23" i="6" s="1"/>
  <c r="A24" i="6" s="1"/>
  <c r="D24" i="6" s="1"/>
  <c r="G24" i="6" s="1"/>
  <c r="B315" i="5"/>
  <c r="I266" i="5"/>
  <c r="I217" i="5"/>
  <c r="I118" i="5"/>
  <c r="A268" i="5"/>
  <c r="D168" i="5"/>
  <c r="G168" i="5" s="1"/>
  <c r="I168" i="5"/>
  <c r="I72" i="5"/>
  <c r="A218" i="5"/>
  <c r="D217" i="5"/>
  <c r="G217" i="5" s="1"/>
  <c r="I75" i="5"/>
  <c r="S19" i="6"/>
  <c r="D18" i="6"/>
  <c r="G18" i="6" s="1"/>
  <c r="S22" i="6"/>
  <c r="D19" i="6"/>
  <c r="G19" i="6" s="1"/>
  <c r="S20" i="6"/>
  <c r="S25" i="6"/>
  <c r="S23" i="6"/>
  <c r="S21" i="6"/>
  <c r="B25" i="6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E44" i="2"/>
  <c r="D20" i="6" l="1"/>
  <c r="A72" i="5"/>
  <c r="A73" i="5" s="1"/>
  <c r="A23" i="5"/>
  <c r="D23" i="5" s="1"/>
  <c r="G23" i="5" s="1"/>
  <c r="B172" i="5"/>
  <c r="I172" i="5" s="1"/>
  <c r="I222" i="5"/>
  <c r="D23" i="6"/>
  <c r="G23" i="6" s="1"/>
  <c r="D21" i="6"/>
  <c r="G21" i="6" s="1"/>
  <c r="D22" i="6"/>
  <c r="G22" i="6" s="1"/>
  <c r="I124" i="5"/>
  <c r="I125" i="5"/>
  <c r="D117" i="5"/>
  <c r="G117" i="5" s="1"/>
  <c r="I117" i="5"/>
  <c r="B167" i="5"/>
  <c r="B216" i="5" s="1"/>
  <c r="B127" i="5"/>
  <c r="B169" i="5"/>
  <c r="I119" i="5"/>
  <c r="I271" i="5"/>
  <c r="B320" i="5"/>
  <c r="A269" i="5"/>
  <c r="D119" i="5"/>
  <c r="G119" i="5" s="1"/>
  <c r="A120" i="5"/>
  <c r="B224" i="5"/>
  <c r="I175" i="5"/>
  <c r="B170" i="5"/>
  <c r="D170" i="5" s="1"/>
  <c r="I120" i="5"/>
  <c r="I174" i="5"/>
  <c r="B223" i="5"/>
  <c r="A319" i="5"/>
  <c r="A219" i="5"/>
  <c r="A25" i="6"/>
  <c r="D315" i="5"/>
  <c r="G315" i="5" s="1"/>
  <c r="I315" i="5"/>
  <c r="I220" i="5"/>
  <c r="B269" i="5"/>
  <c r="G118" i="5"/>
  <c r="B225" i="5"/>
  <c r="I176" i="5"/>
  <c r="A171" i="5"/>
  <c r="G20" i="6"/>
  <c r="B44" i="2"/>
  <c r="J5" i="2" s="1"/>
  <c r="D72" i="5" l="1"/>
  <c r="G72" i="5" s="1"/>
  <c r="A24" i="5"/>
  <c r="D24" i="5" s="1"/>
  <c r="G24" i="5" s="1"/>
  <c r="B221" i="5"/>
  <c r="G25" i="6"/>
  <c r="D25" i="6"/>
  <c r="A25" i="5"/>
  <c r="D25" i="5" s="1"/>
  <c r="G25" i="5" s="1"/>
  <c r="D73" i="5"/>
  <c r="G73" i="5" s="1"/>
  <c r="A74" i="5"/>
  <c r="I167" i="5"/>
  <c r="D167" i="5"/>
  <c r="G167" i="5" s="1"/>
  <c r="I169" i="5"/>
  <c r="B218" i="5"/>
  <c r="D169" i="5"/>
  <c r="G169" i="5" s="1"/>
  <c r="B265" i="5"/>
  <c r="I216" i="5"/>
  <c r="D216" i="5"/>
  <c r="G216" i="5" s="1"/>
  <c r="I320" i="5"/>
  <c r="A320" i="5"/>
  <c r="I225" i="5"/>
  <c r="B274" i="5"/>
  <c r="I269" i="5"/>
  <c r="B318" i="5"/>
  <c r="D171" i="5"/>
  <c r="A172" i="5"/>
  <c r="A220" i="5"/>
  <c r="I223" i="5"/>
  <c r="B272" i="5"/>
  <c r="B273" i="5"/>
  <c r="I224" i="5"/>
  <c r="D269" i="5"/>
  <c r="G269" i="5" s="1"/>
  <c r="A270" i="5"/>
  <c r="G170" i="5"/>
  <c r="B219" i="5"/>
  <c r="D219" i="5" s="1"/>
  <c r="I170" i="5"/>
  <c r="B177" i="5"/>
  <c r="A121" i="5"/>
  <c r="D120" i="5"/>
  <c r="G120" i="5" s="1"/>
  <c r="F32" i="2"/>
  <c r="F5" i="2"/>
  <c r="F31" i="2"/>
  <c r="F36" i="2"/>
  <c r="F33" i="2"/>
  <c r="F17" i="2"/>
  <c r="F38" i="2"/>
  <c r="F34" i="2"/>
  <c r="F13" i="2"/>
  <c r="F26" i="2"/>
  <c r="F40" i="2"/>
  <c r="F23" i="2"/>
  <c r="F6" i="2"/>
  <c r="F39" i="2"/>
  <c r="F28" i="2"/>
  <c r="F35" i="2"/>
  <c r="F21" i="2"/>
  <c r="F30" i="2"/>
  <c r="F24" i="2"/>
  <c r="F19" i="2"/>
  <c r="F10" i="2"/>
  <c r="F37" i="2"/>
  <c r="F16" i="2"/>
  <c r="F14" i="2"/>
  <c r="F18" i="2"/>
  <c r="F22" i="2"/>
  <c r="F8" i="2"/>
  <c r="F41" i="2"/>
  <c r="F20" i="2"/>
  <c r="F11" i="2"/>
  <c r="F27" i="2"/>
  <c r="F9" i="2"/>
  <c r="F29" i="2"/>
  <c r="F25" i="2"/>
  <c r="F43" i="2"/>
  <c r="F7" i="2"/>
  <c r="F15" i="2"/>
  <c r="F42" i="2"/>
  <c r="F12" i="2"/>
  <c r="A26" i="5" l="1"/>
  <c r="D26" i="5" s="1"/>
  <c r="G26" i="5" s="1"/>
  <c r="I221" i="5"/>
  <c r="B270" i="5"/>
  <c r="F44" i="2"/>
  <c r="J10" i="2" s="1"/>
  <c r="D74" i="5"/>
  <c r="A75" i="5"/>
  <c r="B267" i="5"/>
  <c r="I218" i="5"/>
  <c r="D218" i="5"/>
  <c r="G218" i="5" s="1"/>
  <c r="I265" i="5"/>
  <c r="B314" i="5"/>
  <c r="D265" i="5"/>
  <c r="G265" i="5" s="1"/>
  <c r="A122" i="5"/>
  <c r="D121" i="5"/>
  <c r="G121" i="5" s="1"/>
  <c r="I318" i="5"/>
  <c r="D318" i="5"/>
  <c r="G318" i="5" s="1"/>
  <c r="B322" i="5"/>
  <c r="I273" i="5"/>
  <c r="I272" i="5"/>
  <c r="B321" i="5"/>
  <c r="I274" i="5"/>
  <c r="B323" i="5"/>
  <c r="D270" i="5"/>
  <c r="G270" i="5" s="1"/>
  <c r="A271" i="5"/>
  <c r="D172" i="5"/>
  <c r="G172" i="5" s="1"/>
  <c r="A173" i="5"/>
  <c r="D320" i="5"/>
  <c r="G320" i="5" s="1"/>
  <c r="A321" i="5"/>
  <c r="B268" i="5"/>
  <c r="G219" i="5"/>
  <c r="I219" i="5"/>
  <c r="B226" i="5"/>
  <c r="A221" i="5"/>
  <c r="D220" i="5"/>
  <c r="G220" i="5" s="1"/>
  <c r="G171" i="5"/>
  <c r="A27" i="5" l="1"/>
  <c r="D27" i="5" s="1"/>
  <c r="G27" i="5" s="1"/>
  <c r="B319" i="5"/>
  <c r="I270" i="5"/>
  <c r="G74" i="5"/>
  <c r="D75" i="5"/>
  <c r="G75" i="5" s="1"/>
  <c r="A76" i="5"/>
  <c r="B316" i="5"/>
  <c r="I267" i="5"/>
  <c r="D267" i="5"/>
  <c r="G267" i="5" s="1"/>
  <c r="D314" i="5"/>
  <c r="G314" i="5" s="1"/>
  <c r="I314" i="5"/>
  <c r="J13" i="2"/>
  <c r="J16" i="2" s="1"/>
  <c r="A222" i="5"/>
  <c r="D221" i="5"/>
  <c r="G221" i="5" s="1"/>
  <c r="I321" i="5"/>
  <c r="I268" i="5"/>
  <c r="B317" i="5"/>
  <c r="B275" i="5"/>
  <c r="D268" i="5"/>
  <c r="G268" i="5" s="1"/>
  <c r="A174" i="5"/>
  <c r="D173" i="5"/>
  <c r="G173" i="5" s="1"/>
  <c r="D122" i="5"/>
  <c r="A123" i="5"/>
  <c r="A322" i="5"/>
  <c r="D321" i="5"/>
  <c r="G321" i="5" s="1"/>
  <c r="I323" i="5"/>
  <c r="I322" i="5"/>
  <c r="D271" i="5"/>
  <c r="G271" i="5" s="1"/>
  <c r="A272" i="5"/>
  <c r="A28" i="5" l="1"/>
  <c r="D28" i="5" s="1"/>
  <c r="G28" i="5" s="1"/>
  <c r="D319" i="5"/>
  <c r="G319" i="5" s="1"/>
  <c r="I319" i="5"/>
  <c r="D76" i="5"/>
  <c r="G76" i="5" s="1"/>
  <c r="A77" i="5"/>
  <c r="O12" i="2"/>
  <c r="O8" i="2"/>
  <c r="O11" i="2"/>
  <c r="O10" i="2"/>
  <c r="O14" i="2"/>
  <c r="O13" i="2"/>
  <c r="O9" i="2"/>
  <c r="I316" i="5"/>
  <c r="D316" i="5"/>
  <c r="G316" i="5" s="1"/>
  <c r="D123" i="5"/>
  <c r="G123" i="5" s="1"/>
  <c r="A124" i="5"/>
  <c r="A273" i="5"/>
  <c r="D272" i="5"/>
  <c r="G272" i="5" s="1"/>
  <c r="G122" i="5"/>
  <c r="A323" i="5"/>
  <c r="D322" i="5"/>
  <c r="G322" i="5" s="1"/>
  <c r="A175" i="5"/>
  <c r="D174" i="5"/>
  <c r="I317" i="5"/>
  <c r="D317" i="5"/>
  <c r="G317" i="5" s="1"/>
  <c r="B324" i="5"/>
  <c r="A223" i="5"/>
  <c r="D222" i="5"/>
  <c r="G222" i="5" s="1"/>
  <c r="A29" i="5" l="1"/>
  <c r="D29" i="5" s="1"/>
  <c r="D30" i="5" s="1"/>
  <c r="P12" i="2"/>
  <c r="Q12" i="2"/>
  <c r="Q10" i="2"/>
  <c r="P10" i="2"/>
  <c r="Q14" i="2"/>
  <c r="R17" i="3" s="1"/>
  <c r="I15" i="4" s="1"/>
  <c r="C321" i="5" s="1"/>
  <c r="P14" i="2"/>
  <c r="P9" i="2"/>
  <c r="Q9" i="2"/>
  <c r="P11" i="2"/>
  <c r="Q11" i="2"/>
  <c r="D77" i="5"/>
  <c r="G77" i="5" s="1"/>
  <c r="A78" i="5"/>
  <c r="P13" i="2"/>
  <c r="Q13" i="2"/>
  <c r="P19" i="3" s="1"/>
  <c r="H17" i="4" s="1"/>
  <c r="C274" i="5" s="1"/>
  <c r="J274" i="5" s="1"/>
  <c r="P8" i="2"/>
  <c r="Q8" i="2"/>
  <c r="D273" i="5"/>
  <c r="A274" i="5"/>
  <c r="D223" i="5"/>
  <c r="G223" i="5" s="1"/>
  <c r="A224" i="5"/>
  <c r="D323" i="5"/>
  <c r="G323" i="5" s="1"/>
  <c r="G324" i="5" s="1"/>
  <c r="A324" i="5"/>
  <c r="G174" i="5"/>
  <c r="D124" i="5"/>
  <c r="G124" i="5" s="1"/>
  <c r="A125" i="5"/>
  <c r="A176" i="5"/>
  <c r="D175" i="5"/>
  <c r="G175" i="5" s="1"/>
  <c r="R13" i="3" l="1"/>
  <c r="I11" i="4" s="1"/>
  <c r="C317" i="5" s="1"/>
  <c r="E317" i="5" s="1"/>
  <c r="F317" i="5" s="1"/>
  <c r="R14" i="3"/>
  <c r="I12" i="4" s="1"/>
  <c r="C318" i="5" s="1"/>
  <c r="E318" i="5" s="1"/>
  <c r="F318" i="5" s="1"/>
  <c r="R19" i="3"/>
  <c r="I17" i="4" s="1"/>
  <c r="C323" i="5" s="1"/>
  <c r="J323" i="5" s="1"/>
  <c r="R11" i="3"/>
  <c r="I9" i="4" s="1"/>
  <c r="C315" i="5" s="1"/>
  <c r="J315" i="5" s="1"/>
  <c r="R12" i="3"/>
  <c r="I10" i="4" s="1"/>
  <c r="C316" i="5" s="1"/>
  <c r="E316" i="5" s="1"/>
  <c r="F316" i="5" s="1"/>
  <c r="R15" i="3"/>
  <c r="I13" i="4" s="1"/>
  <c r="C319" i="5" s="1"/>
  <c r="J319" i="5" s="1"/>
  <c r="R18" i="3"/>
  <c r="I16" i="4" s="1"/>
  <c r="C322" i="5" s="1"/>
  <c r="J322" i="5" s="1"/>
  <c r="R16" i="3"/>
  <c r="I14" i="4" s="1"/>
  <c r="C320" i="5" s="1"/>
  <c r="E320" i="5" s="1"/>
  <c r="F320" i="5" s="1"/>
  <c r="R10" i="3"/>
  <c r="I8" i="4" s="1"/>
  <c r="C314" i="5" s="1"/>
  <c r="P12" i="3"/>
  <c r="H10" i="4" s="1"/>
  <c r="C267" i="5" s="1"/>
  <c r="E267" i="5" s="1"/>
  <c r="F267" i="5" s="1"/>
  <c r="A30" i="5"/>
  <c r="H16" i="3"/>
  <c r="D14" i="4" s="1"/>
  <c r="C75" i="5" s="1"/>
  <c r="E75" i="5" s="1"/>
  <c r="F75" i="5" s="1"/>
  <c r="H12" i="3"/>
  <c r="D10" i="4" s="1"/>
  <c r="C71" i="5" s="1"/>
  <c r="E71" i="5" s="1"/>
  <c r="F71" i="5" s="1"/>
  <c r="H19" i="3"/>
  <c r="D17" i="4" s="1"/>
  <c r="C78" i="5" s="1"/>
  <c r="J78" i="5" s="1"/>
  <c r="H15" i="3"/>
  <c r="D13" i="4" s="1"/>
  <c r="C74" i="5" s="1"/>
  <c r="J74" i="5" s="1"/>
  <c r="H11" i="3"/>
  <c r="D9" i="4" s="1"/>
  <c r="C70" i="5" s="1"/>
  <c r="J70" i="5" s="1"/>
  <c r="H14" i="3"/>
  <c r="D12" i="4" s="1"/>
  <c r="C73" i="5" s="1"/>
  <c r="E73" i="5" s="1"/>
  <c r="F73" i="5" s="1"/>
  <c r="H18" i="3"/>
  <c r="D16" i="4" s="1"/>
  <c r="C77" i="5" s="1"/>
  <c r="E77" i="5" s="1"/>
  <c r="F77" i="5" s="1"/>
  <c r="H10" i="3"/>
  <c r="D8" i="4" s="1"/>
  <c r="C69" i="5" s="1"/>
  <c r="J69" i="5" s="1"/>
  <c r="H17" i="3"/>
  <c r="D15" i="4" s="1"/>
  <c r="C76" i="5" s="1"/>
  <c r="E76" i="5" s="1"/>
  <c r="F76" i="5" s="1"/>
  <c r="H13" i="3"/>
  <c r="D11" i="4" s="1"/>
  <c r="C72" i="5" s="1"/>
  <c r="E72" i="5" s="1"/>
  <c r="F72" i="5" s="1"/>
  <c r="J19" i="3"/>
  <c r="E17" i="4" s="1"/>
  <c r="C126" i="5" s="1"/>
  <c r="J126" i="5" s="1"/>
  <c r="J18" i="3"/>
  <c r="E16" i="4" s="1"/>
  <c r="C125" i="5" s="1"/>
  <c r="E125" i="5" s="1"/>
  <c r="J14" i="3"/>
  <c r="E12" i="4" s="1"/>
  <c r="C121" i="5" s="1"/>
  <c r="J121" i="5" s="1"/>
  <c r="J10" i="3"/>
  <c r="E8" i="4" s="1"/>
  <c r="C117" i="5" s="1"/>
  <c r="E117" i="5" s="1"/>
  <c r="J17" i="3"/>
  <c r="E15" i="4" s="1"/>
  <c r="C124" i="5" s="1"/>
  <c r="E124" i="5" s="1"/>
  <c r="F124" i="5" s="1"/>
  <c r="J13" i="3"/>
  <c r="E11" i="4" s="1"/>
  <c r="C120" i="5" s="1"/>
  <c r="E120" i="5" s="1"/>
  <c r="F120" i="5" s="1"/>
  <c r="J12" i="3"/>
  <c r="E10" i="4" s="1"/>
  <c r="C119" i="5" s="1"/>
  <c r="E119" i="5" s="1"/>
  <c r="F119" i="5" s="1"/>
  <c r="J11" i="3"/>
  <c r="E9" i="4" s="1"/>
  <c r="C118" i="5" s="1"/>
  <c r="E118" i="5" s="1"/>
  <c r="F118" i="5" s="1"/>
  <c r="J16" i="3"/>
  <c r="E14" i="4" s="1"/>
  <c r="C123" i="5" s="1"/>
  <c r="E123" i="5" s="1"/>
  <c r="F123" i="5" s="1"/>
  <c r="J15" i="3"/>
  <c r="E13" i="4" s="1"/>
  <c r="C122" i="5" s="1"/>
  <c r="E122" i="5" s="1"/>
  <c r="F122" i="5" s="1"/>
  <c r="F18" i="3"/>
  <c r="C16" i="4" s="1"/>
  <c r="C28" i="5" s="1"/>
  <c r="F14" i="3"/>
  <c r="C12" i="4" s="1"/>
  <c r="C24" i="5" s="1"/>
  <c r="F17" i="3"/>
  <c r="C15" i="4" s="1"/>
  <c r="C27" i="5" s="1"/>
  <c r="F13" i="3"/>
  <c r="C11" i="4" s="1"/>
  <c r="C23" i="5" s="1"/>
  <c r="F16" i="3"/>
  <c r="C14" i="4" s="1"/>
  <c r="C26" i="5" s="1"/>
  <c r="F19" i="3"/>
  <c r="C17" i="4" s="1"/>
  <c r="C29" i="5" s="1"/>
  <c r="F11" i="3"/>
  <c r="C9" i="4" s="1"/>
  <c r="C21" i="5" s="1"/>
  <c r="F15" i="3"/>
  <c r="C13" i="4" s="1"/>
  <c r="C25" i="5" s="1"/>
  <c r="F12" i="3"/>
  <c r="C10" i="4" s="1"/>
  <c r="C22" i="5" s="1"/>
  <c r="D78" i="5"/>
  <c r="D79" i="5" s="1"/>
  <c r="A79" i="5"/>
  <c r="L11" i="3"/>
  <c r="F9" i="4" s="1"/>
  <c r="C168" i="5" s="1"/>
  <c r="L18" i="3"/>
  <c r="F16" i="4" s="1"/>
  <c r="C175" i="5" s="1"/>
  <c r="L16" i="3"/>
  <c r="F14" i="4" s="1"/>
  <c r="C173" i="5" s="1"/>
  <c r="L14" i="3"/>
  <c r="F12" i="4" s="1"/>
  <c r="C171" i="5" s="1"/>
  <c r="L15" i="3"/>
  <c r="F13" i="4" s="1"/>
  <c r="C172" i="5" s="1"/>
  <c r="L13" i="3"/>
  <c r="F11" i="4" s="1"/>
  <c r="C170" i="5" s="1"/>
  <c r="L19" i="3"/>
  <c r="L10" i="3"/>
  <c r="F8" i="4" s="1"/>
  <c r="C167" i="5" s="1"/>
  <c r="L17" i="3"/>
  <c r="F15" i="4" s="1"/>
  <c r="C174" i="5" s="1"/>
  <c r="L12" i="3"/>
  <c r="F10" i="4" s="1"/>
  <c r="C169" i="5" s="1"/>
  <c r="E274" i="5"/>
  <c r="P10" i="3"/>
  <c r="H8" i="4" s="1"/>
  <c r="C265" i="5" s="1"/>
  <c r="J265" i="5" s="1"/>
  <c r="P17" i="3"/>
  <c r="H15" i="4" s="1"/>
  <c r="C272" i="5" s="1"/>
  <c r="J272" i="5" s="1"/>
  <c r="P14" i="3"/>
  <c r="H12" i="4" s="1"/>
  <c r="C269" i="5" s="1"/>
  <c r="J269" i="5" s="1"/>
  <c r="P11" i="3"/>
  <c r="H9" i="4" s="1"/>
  <c r="C266" i="5" s="1"/>
  <c r="E266" i="5" s="1"/>
  <c r="F266" i="5" s="1"/>
  <c r="P18" i="3"/>
  <c r="H16" i="4" s="1"/>
  <c r="C273" i="5" s="1"/>
  <c r="J273" i="5" s="1"/>
  <c r="P13" i="3"/>
  <c r="H11" i="4" s="1"/>
  <c r="C268" i="5" s="1"/>
  <c r="E268" i="5" s="1"/>
  <c r="F268" i="5" s="1"/>
  <c r="P15" i="3"/>
  <c r="H13" i="4" s="1"/>
  <c r="C270" i="5" s="1"/>
  <c r="J270" i="5" s="1"/>
  <c r="P16" i="3"/>
  <c r="H14" i="4" s="1"/>
  <c r="C271" i="5" s="1"/>
  <c r="J271" i="5" s="1"/>
  <c r="G273" i="5"/>
  <c r="D324" i="5"/>
  <c r="G29" i="5"/>
  <c r="G30" i="5" s="1"/>
  <c r="D176" i="5"/>
  <c r="A177" i="5"/>
  <c r="F10" i="3"/>
  <c r="C8" i="4" s="1"/>
  <c r="C20" i="5" s="1"/>
  <c r="A225" i="5"/>
  <c r="D224" i="5"/>
  <c r="G224" i="5" s="1"/>
  <c r="A126" i="5"/>
  <c r="D125" i="5"/>
  <c r="G125" i="5" s="1"/>
  <c r="N16" i="3"/>
  <c r="G14" i="4" s="1"/>
  <c r="C222" i="5" s="1"/>
  <c r="N15" i="3"/>
  <c r="G13" i="4" s="1"/>
  <c r="C221" i="5" s="1"/>
  <c r="N19" i="3"/>
  <c r="G17" i="4" s="1"/>
  <c r="C225" i="5" s="1"/>
  <c r="N13" i="3"/>
  <c r="G11" i="4" s="1"/>
  <c r="C219" i="5" s="1"/>
  <c r="N12" i="3"/>
  <c r="G10" i="4" s="1"/>
  <c r="C218" i="5" s="1"/>
  <c r="N17" i="3"/>
  <c r="G15" i="4" s="1"/>
  <c r="C223" i="5" s="1"/>
  <c r="N14" i="3"/>
  <c r="G12" i="4" s="1"/>
  <c r="C220" i="5" s="1"/>
  <c r="N11" i="3"/>
  <c r="G9" i="4" s="1"/>
  <c r="C217" i="5" s="1"/>
  <c r="N10" i="3"/>
  <c r="G8" i="4" s="1"/>
  <c r="C216" i="5" s="1"/>
  <c r="N18" i="3"/>
  <c r="G16" i="4" s="1"/>
  <c r="C224" i="5" s="1"/>
  <c r="D274" i="5"/>
  <c r="G274" i="5" s="1"/>
  <c r="A275" i="5"/>
  <c r="J321" i="5"/>
  <c r="E321" i="5"/>
  <c r="F321" i="5" s="1"/>
  <c r="J317" i="5" l="1"/>
  <c r="E323" i="5"/>
  <c r="F323" i="5" s="1"/>
  <c r="J318" i="5"/>
  <c r="E265" i="5"/>
  <c r="F265" i="5" s="1"/>
  <c r="F17" i="4"/>
  <c r="C176" i="5" s="1"/>
  <c r="J316" i="5"/>
  <c r="E315" i="5"/>
  <c r="F315" i="5" s="1"/>
  <c r="J320" i="5"/>
  <c r="E322" i="5"/>
  <c r="F322" i="5" s="1"/>
  <c r="E319" i="5"/>
  <c r="F319" i="5" s="1"/>
  <c r="C324" i="5"/>
  <c r="J314" i="5"/>
  <c r="E314" i="5"/>
  <c r="F314" i="5" s="1"/>
  <c r="J267" i="5"/>
  <c r="E121" i="5"/>
  <c r="F121" i="5" s="1"/>
  <c r="J75" i="5"/>
  <c r="J76" i="5"/>
  <c r="J119" i="5"/>
  <c r="E70" i="5"/>
  <c r="F70" i="5" s="1"/>
  <c r="J72" i="5"/>
  <c r="J71" i="5"/>
  <c r="J73" i="5"/>
  <c r="J77" i="5"/>
  <c r="E78" i="5"/>
  <c r="F78" i="5" s="1"/>
  <c r="J117" i="5"/>
  <c r="J118" i="5"/>
  <c r="E269" i="5"/>
  <c r="F269" i="5" s="1"/>
  <c r="J124" i="5"/>
  <c r="J123" i="5"/>
  <c r="G275" i="5"/>
  <c r="E74" i="5"/>
  <c r="F74" i="5" s="1"/>
  <c r="J125" i="5"/>
  <c r="J122" i="5"/>
  <c r="C127" i="5"/>
  <c r="J120" i="5"/>
  <c r="C79" i="5"/>
  <c r="E126" i="5"/>
  <c r="J169" i="5"/>
  <c r="E169" i="5"/>
  <c r="F169" i="5" s="1"/>
  <c r="E170" i="5"/>
  <c r="F170" i="5" s="1"/>
  <c r="J170" i="5"/>
  <c r="J175" i="5"/>
  <c r="E175" i="5"/>
  <c r="F175" i="5" s="1"/>
  <c r="G78" i="5"/>
  <c r="G79" i="5" s="1"/>
  <c r="E69" i="5"/>
  <c r="F69" i="5" s="1"/>
  <c r="E174" i="5"/>
  <c r="F174" i="5" s="1"/>
  <c r="J174" i="5"/>
  <c r="J172" i="5"/>
  <c r="E172" i="5"/>
  <c r="F172" i="5" s="1"/>
  <c r="J168" i="5"/>
  <c r="E168" i="5"/>
  <c r="F168" i="5" s="1"/>
  <c r="E173" i="5"/>
  <c r="F173" i="5" s="1"/>
  <c r="J173" i="5"/>
  <c r="J167" i="5"/>
  <c r="E167" i="5"/>
  <c r="E171" i="5"/>
  <c r="F171" i="5" s="1"/>
  <c r="J171" i="5"/>
  <c r="J266" i="5"/>
  <c r="E272" i="5"/>
  <c r="F272" i="5" s="1"/>
  <c r="J268" i="5"/>
  <c r="E271" i="5"/>
  <c r="F271" i="5" s="1"/>
  <c r="E273" i="5"/>
  <c r="F273" i="5" s="1"/>
  <c r="E270" i="5"/>
  <c r="F270" i="5" s="1"/>
  <c r="C275" i="5"/>
  <c r="F125" i="5"/>
  <c r="J218" i="5"/>
  <c r="E218" i="5"/>
  <c r="F218" i="5" s="1"/>
  <c r="D225" i="5"/>
  <c r="A226" i="5"/>
  <c r="J28" i="5"/>
  <c r="E28" i="5"/>
  <c r="F28" i="5" s="1"/>
  <c r="E217" i="5"/>
  <c r="F217" i="5" s="1"/>
  <c r="J217" i="5"/>
  <c r="J219" i="5"/>
  <c r="E219" i="5"/>
  <c r="F219" i="5" s="1"/>
  <c r="E27" i="5"/>
  <c r="F27" i="5" s="1"/>
  <c r="J27" i="5"/>
  <c r="E23" i="5"/>
  <c r="F23" i="5" s="1"/>
  <c r="J23" i="5"/>
  <c r="D275" i="5"/>
  <c r="E216" i="5"/>
  <c r="C226" i="5"/>
  <c r="J216" i="5"/>
  <c r="J222" i="5"/>
  <c r="E222" i="5"/>
  <c r="F222" i="5" s="1"/>
  <c r="J25" i="5"/>
  <c r="E25" i="5"/>
  <c r="F25" i="5" s="1"/>
  <c r="E220" i="5"/>
  <c r="F220" i="5" s="1"/>
  <c r="J220" i="5"/>
  <c r="E225" i="5"/>
  <c r="J225" i="5"/>
  <c r="D126" i="5"/>
  <c r="A127" i="5"/>
  <c r="J22" i="5"/>
  <c r="E22" i="5"/>
  <c r="F22" i="5" s="1"/>
  <c r="J24" i="5"/>
  <c r="E24" i="5"/>
  <c r="F24" i="5" s="1"/>
  <c r="E20" i="5"/>
  <c r="J20" i="5"/>
  <c r="C30" i="5"/>
  <c r="G176" i="5"/>
  <c r="G177" i="5" s="1"/>
  <c r="D177" i="5"/>
  <c r="E224" i="5"/>
  <c r="F224" i="5" s="1"/>
  <c r="J224" i="5"/>
  <c r="J223" i="5"/>
  <c r="E223" i="5"/>
  <c r="F223" i="5" s="1"/>
  <c r="J221" i="5"/>
  <c r="E221" i="5"/>
  <c r="F221" i="5" s="1"/>
  <c r="E29" i="5"/>
  <c r="F29" i="5" s="1"/>
  <c r="J29" i="5"/>
  <c r="E26" i="5"/>
  <c r="F26" i="5" s="1"/>
  <c r="J26" i="5"/>
  <c r="J21" i="5"/>
  <c r="E21" i="5"/>
  <c r="F21" i="5" s="1"/>
  <c r="F274" i="5"/>
  <c r="F117" i="5"/>
  <c r="E127" i="5" l="1"/>
  <c r="C177" i="5"/>
  <c r="E176" i="5"/>
  <c r="F176" i="5" s="1"/>
  <c r="J176" i="5"/>
  <c r="E324" i="5"/>
  <c r="F324" i="5"/>
  <c r="F79" i="5"/>
  <c r="E79" i="5"/>
  <c r="F167" i="5"/>
  <c r="E275" i="5"/>
  <c r="F275" i="5"/>
  <c r="G225" i="5"/>
  <c r="G226" i="5" s="1"/>
  <c r="D226" i="5"/>
  <c r="F20" i="5"/>
  <c r="F30" i="5" s="1"/>
  <c r="E30" i="5"/>
  <c r="F225" i="5"/>
  <c r="F216" i="5"/>
  <c r="E226" i="5"/>
  <c r="G126" i="5"/>
  <c r="G127" i="5" s="1"/>
  <c r="D127" i="5"/>
  <c r="F126" i="5"/>
  <c r="F127" i="5" s="1"/>
  <c r="F177" i="5" l="1"/>
  <c r="E177" i="5"/>
  <c r="B325" i="5"/>
  <c r="D325" i="5" s="1"/>
  <c r="C10" i="6" s="1"/>
  <c r="C24" i="6" s="1"/>
  <c r="T25" i="6" s="1"/>
  <c r="B80" i="5"/>
  <c r="D80" i="5" s="1"/>
  <c r="C5" i="6" s="1"/>
  <c r="C19" i="6" s="1"/>
  <c r="B31" i="5"/>
  <c r="F31" i="5" s="1"/>
  <c r="B276" i="5"/>
  <c r="D276" i="5" s="1"/>
  <c r="C9" i="6" s="1"/>
  <c r="C23" i="6" s="1"/>
  <c r="T24" i="6" s="1"/>
  <c r="B128" i="5"/>
  <c r="D128" i="5" s="1"/>
  <c r="C6" i="6" s="1"/>
  <c r="C20" i="6" s="1"/>
  <c r="E20" i="6" s="1"/>
  <c r="F20" i="6" s="1"/>
  <c r="F226" i="5"/>
  <c r="B227" i="5" s="1"/>
  <c r="B178" i="5" l="1"/>
  <c r="D178" i="5" s="1"/>
  <c r="C7" i="6" s="1"/>
  <c r="C21" i="6" s="1"/>
  <c r="T22" i="6" s="1"/>
  <c r="E24" i="6"/>
  <c r="F24" i="6" s="1"/>
  <c r="F325" i="5"/>
  <c r="E10" i="6" s="1"/>
  <c r="F80" i="5"/>
  <c r="E5" i="6" s="1"/>
  <c r="D31" i="5"/>
  <c r="C4" i="6" s="1"/>
  <c r="C18" i="6" s="1"/>
  <c r="F276" i="5"/>
  <c r="E9" i="6" s="1"/>
  <c r="E23" i="6"/>
  <c r="F23" i="6" s="1"/>
  <c r="F128" i="5"/>
  <c r="E6" i="6" s="1"/>
  <c r="T21" i="6"/>
  <c r="E4" i="6"/>
  <c r="F227" i="5"/>
  <c r="E8" i="6" s="1"/>
  <c r="D227" i="5"/>
  <c r="C8" i="6" s="1"/>
  <c r="T20" i="6"/>
  <c r="E19" i="6"/>
  <c r="F178" i="5" l="1"/>
  <c r="E7" i="6" s="1"/>
  <c r="E11" i="6" s="1"/>
  <c r="F4" i="7" s="1"/>
  <c r="E21" i="6"/>
  <c r="F21" i="6" s="1"/>
  <c r="T19" i="6"/>
  <c r="C11" i="6"/>
  <c r="C22" i="6"/>
  <c r="F19" i="6"/>
  <c r="E18" i="6" l="1"/>
  <c r="F18" i="6" s="1"/>
  <c r="E22" i="6"/>
  <c r="T23" i="6"/>
  <c r="C25" i="6"/>
  <c r="F22" i="6" l="1"/>
  <c r="F25" i="6" s="1"/>
  <c r="E25" i="6"/>
  <c r="B26" i="6" l="1"/>
  <c r="D26" i="6" s="1"/>
  <c r="E3" i="7" s="1"/>
  <c r="F26" i="6" l="1"/>
  <c r="E30" i="6" s="1"/>
  <c r="E29" i="6"/>
  <c r="F2" i="7" l="1"/>
  <c r="G14" i="7" l="1"/>
  <c r="M12" i="7"/>
  <c r="J16" i="7"/>
  <c r="H12" i="7"/>
  <c r="E16" i="7"/>
  <c r="I11" i="7"/>
  <c r="E11" i="7"/>
  <c r="J14" i="7"/>
  <c r="I10" i="7"/>
  <c r="E12" i="7"/>
  <c r="E10" i="7"/>
  <c r="M15" i="7"/>
  <c r="F10" i="7"/>
  <c r="L16" i="7"/>
  <c r="M16" i="7"/>
  <c r="H13" i="7"/>
  <c r="H10" i="7"/>
  <c r="H16" i="7"/>
  <c r="K14" i="7"/>
  <c r="B12" i="7"/>
  <c r="D12" i="7"/>
  <c r="G16" i="7"/>
  <c r="F11" i="7"/>
  <c r="M11" i="7"/>
  <c r="H14" i="7"/>
  <c r="F15" i="7"/>
  <c r="K11" i="7"/>
  <c r="I16" i="7"/>
  <c r="J10" i="7"/>
  <c r="K16" i="7"/>
  <c r="L10" i="7"/>
  <c r="I12" i="7"/>
  <c r="C14" i="7"/>
  <c r="F13" i="7"/>
  <c r="G15" i="7"/>
  <c r="B13" i="7"/>
  <c r="H11" i="7"/>
  <c r="D15" i="7"/>
  <c r="G11" i="7"/>
  <c r="K12" i="7"/>
  <c r="E13" i="7"/>
  <c r="G10" i="7"/>
  <c r="I14" i="7"/>
  <c r="D11" i="7"/>
  <c r="E15" i="7"/>
  <c r="B11" i="7"/>
  <c r="G13" i="7"/>
  <c r="M14" i="7"/>
  <c r="B10" i="7"/>
  <c r="I15" i="7"/>
  <c r="C10" i="7"/>
  <c r="M10" i="7"/>
  <c r="C11" i="7"/>
  <c r="J15" i="7"/>
  <c r="L13" i="7"/>
  <c r="L11" i="7"/>
  <c r="D14" i="7"/>
  <c r="J13" i="7"/>
  <c r="D13" i="7"/>
  <c r="F12" i="7"/>
  <c r="B15" i="7"/>
  <c r="D10" i="7"/>
  <c r="C15" i="7"/>
  <c r="K15" i="7"/>
  <c r="F14" i="7"/>
  <c r="K10" i="7"/>
  <c r="J12" i="7"/>
  <c r="K13" i="7"/>
  <c r="L12" i="7"/>
  <c r="B16" i="7"/>
  <c r="J11" i="7"/>
  <c r="G12" i="7"/>
  <c r="E14" i="7"/>
  <c r="H15" i="7"/>
  <c r="B14" i="7"/>
  <c r="C16" i="7"/>
  <c r="L15" i="7"/>
  <c r="L14" i="7"/>
  <c r="F16" i="7"/>
  <c r="D16" i="7"/>
  <c r="I13" i="7"/>
  <c r="C13" i="7"/>
  <c r="C12" i="7"/>
  <c r="M13" i="7"/>
  <c r="C4" i="8" l="1"/>
  <c r="F40" i="8" l="1"/>
  <c r="G40" i="8" s="1"/>
  <c r="F42" i="8"/>
  <c r="G42" i="8" s="1"/>
  <c r="F43" i="8"/>
  <c r="G43" i="8" s="1"/>
  <c r="F41" i="8"/>
  <c r="G41" i="8" s="1"/>
  <c r="F45" i="8"/>
  <c r="G45" i="8" s="1"/>
  <c r="F44" i="8"/>
  <c r="G44" i="8" s="1"/>
  <c r="F39" i="8"/>
  <c r="F26" i="8"/>
  <c r="F27" i="8"/>
  <c r="G27" i="8" s="1"/>
  <c r="F29" i="8"/>
  <c r="G29" i="8" s="1"/>
  <c r="F33" i="8"/>
  <c r="G33" i="8" s="1"/>
  <c r="F30" i="8"/>
  <c r="G30" i="8" s="1"/>
  <c r="F31" i="8"/>
  <c r="G31" i="8" s="1"/>
  <c r="F34" i="8"/>
  <c r="G34" i="8" s="1"/>
  <c r="F32" i="8"/>
  <c r="G32" i="8" s="1"/>
  <c r="F28" i="8"/>
  <c r="G28" i="8" s="1"/>
  <c r="F12" i="8"/>
  <c r="G12" i="8" s="1"/>
  <c r="F18" i="8"/>
  <c r="G18" i="8" s="1"/>
  <c r="F21" i="8"/>
  <c r="G21" i="8" s="1"/>
  <c r="F19" i="8"/>
  <c r="G19" i="8" s="1"/>
  <c r="F20" i="8"/>
  <c r="G20" i="8" s="1"/>
  <c r="F14" i="8"/>
  <c r="G14" i="8" s="1"/>
  <c r="F15" i="8"/>
  <c r="G15" i="8" s="1"/>
  <c r="F16" i="8"/>
  <c r="G16" i="8" s="1"/>
  <c r="F17" i="8"/>
  <c r="G17" i="8" s="1"/>
  <c r="F9" i="8"/>
  <c r="G9" i="8" s="1"/>
  <c r="F10" i="8"/>
  <c r="G10" i="8" s="1"/>
  <c r="F8" i="8"/>
  <c r="G8" i="8" s="1"/>
  <c r="F11" i="8"/>
  <c r="G11" i="8" s="1"/>
  <c r="F13" i="8"/>
  <c r="G13" i="8" s="1"/>
  <c r="F46" i="8" l="1"/>
  <c r="G46" i="8" s="1"/>
  <c r="G39" i="8"/>
  <c r="F35" i="8"/>
  <c r="G35" i="8" s="1"/>
  <c r="G26" i="8"/>
  <c r="F22" i="8"/>
  <c r="G22" i="8" l="1"/>
</calcChain>
</file>

<file path=xl/sharedStrings.xml><?xml version="1.0" encoding="utf-8"?>
<sst xmlns="http://schemas.openxmlformats.org/spreadsheetml/2006/main" count="415" uniqueCount="196">
  <si>
    <t>Año</t>
  </si>
  <si>
    <t>MAX</t>
  </si>
  <si>
    <t>Precipitación (mm)</t>
  </si>
  <si>
    <t>xi</t>
  </si>
  <si>
    <t>(xi - x)^2</t>
  </si>
  <si>
    <t>Suma</t>
  </si>
  <si>
    <t>mm</t>
  </si>
  <si>
    <t>Periodo</t>
  </si>
  <si>
    <t>Variable</t>
  </si>
  <si>
    <t>Precip.</t>
  </si>
  <si>
    <t xml:space="preserve">Prob. de </t>
  </si>
  <si>
    <t>Corrección</t>
  </si>
  <si>
    <t>Retorno</t>
  </si>
  <si>
    <t>Reducida</t>
  </si>
  <si>
    <t>(mm)</t>
  </si>
  <si>
    <t>ocurrencia</t>
  </si>
  <si>
    <t>intervalo fijo</t>
  </si>
  <si>
    <t>Años</t>
  </si>
  <si>
    <t>YT</t>
  </si>
  <si>
    <t>XT'(mm)</t>
  </si>
  <si>
    <t>F(xT)</t>
  </si>
  <si>
    <t>XT (mm)</t>
  </si>
  <si>
    <t>Distribución de probabilidades pluviométricas mediante Gumbel</t>
  </si>
  <si>
    <t>Duraciones, en horas</t>
  </si>
  <si>
    <t>Cociente</t>
  </si>
  <si>
    <t>500 años</t>
  </si>
  <si>
    <t>X24</t>
  </si>
  <si>
    <t>X18 = 91%</t>
  </si>
  <si>
    <t>X12 = 80%</t>
  </si>
  <si>
    <t>X8 = 68%</t>
  </si>
  <si>
    <t>X6 = 61%</t>
  </si>
  <si>
    <t>X5 = 57%</t>
  </si>
  <si>
    <t>X4 = 52%</t>
  </si>
  <si>
    <t>X3 = 46%</t>
  </si>
  <si>
    <t>X2 = 39%</t>
  </si>
  <si>
    <t>X1 = 30%</t>
  </si>
  <si>
    <t>DATOS MENSUALES DE PRECIPITACIÓN MÁXIMA EN 24 Hrs. (mm)</t>
  </si>
  <si>
    <t>Nº</t>
  </si>
  <si>
    <t>Cálculo de las Precipitaciones Diarias Máximas Probables para distintas frecuencias</t>
  </si>
  <si>
    <t>Cálculo variables probabilísticas</t>
  </si>
  <si>
    <t>Coeficientes para las relaciones a la lluvia de duración 24 horas</t>
  </si>
  <si>
    <t>Precipitaciones máximas para diferentes tiempos de duración de lluvias</t>
  </si>
  <si>
    <t xml:space="preserve">Precipitación máxima Pd (mm) por tiempos de duración </t>
  </si>
  <si>
    <t>Tiempo de duración</t>
  </si>
  <si>
    <t>Intensidad de la lluvia (mm /hr) según el Periodo de Retorno</t>
  </si>
  <si>
    <t>Hr</t>
  </si>
  <si>
    <t>min</t>
  </si>
  <si>
    <t>Intensidades de lluvia a partir de Pd, según Duración de precipitación y Frecuencia de la misma</t>
  </si>
  <si>
    <t>y</t>
  </si>
  <si>
    <t>x</t>
  </si>
  <si>
    <t>(lnx)^2</t>
  </si>
  <si>
    <t>ln x*ln y</t>
  </si>
  <si>
    <t>ln y</t>
  </si>
  <si>
    <t>ln x</t>
  </si>
  <si>
    <t>Serie T= 500 años</t>
  </si>
  <si>
    <t>Periodo de retorno para T = 500 años</t>
  </si>
  <si>
    <t>Serie T= 100 años</t>
  </si>
  <si>
    <t>Periodo de retorno para T = 100 años</t>
  </si>
  <si>
    <t>Serie T= 50 años</t>
  </si>
  <si>
    <t>Periodo de retorno para T = 50 años</t>
  </si>
  <si>
    <t>Serie T= 25 años</t>
  </si>
  <si>
    <t>Periodo de retorno para T = 25 años</t>
  </si>
  <si>
    <t>Serie T= 10 años</t>
  </si>
  <si>
    <t>Serie T= 5 años</t>
  </si>
  <si>
    <t>Periodo de retorno para T = 5 años</t>
  </si>
  <si>
    <t>Serie T= 2 años</t>
  </si>
  <si>
    <t>Periodo de retorno para T = 2 años</t>
  </si>
  <si>
    <t>Realizando un cambio de variable:</t>
  </si>
  <si>
    <t>Parámetros de ajuste</t>
  </si>
  <si>
    <t>Período de retorno (años)</t>
  </si>
  <si>
    <t>T =</t>
  </si>
  <si>
    <t>Duración de la lluvia (min)</t>
  </si>
  <si>
    <t>t =</t>
  </si>
  <si>
    <t>Intensidad (mm/hr)</t>
  </si>
  <si>
    <t>I =</t>
  </si>
  <si>
    <t>Resumen de aplicación de regresión potencial</t>
  </si>
  <si>
    <t>Periodo de</t>
  </si>
  <si>
    <t>Término ctte. de</t>
  </si>
  <si>
    <t>Coef. de</t>
  </si>
  <si>
    <t>Retorno (años)</t>
  </si>
  <si>
    <t>regresión (d)</t>
  </si>
  <si>
    <t>Promedio =</t>
  </si>
  <si>
    <r>
      <t xml:space="preserve">En función del cambio de variable realizado, se realiza otra regresión de potencia entre las columnas del periodo de retorno </t>
    </r>
    <r>
      <rPr>
        <i/>
        <sz val="10"/>
        <rFont val="Arial"/>
        <family val="2"/>
      </rPr>
      <t>(T)</t>
    </r>
    <r>
      <rPr>
        <sz val="10"/>
        <rFont val="Arial"/>
        <family val="2"/>
      </rPr>
      <t xml:space="preserve"> y el término constante de regresión </t>
    </r>
    <r>
      <rPr>
        <i/>
        <sz val="10"/>
        <rFont val="Arial"/>
        <family val="2"/>
      </rPr>
      <t>(d)</t>
    </r>
    <r>
      <rPr>
        <sz val="10"/>
        <rFont val="Arial"/>
        <family val="2"/>
      </rPr>
      <t>, para obtener valores de la ecuación:</t>
    </r>
  </si>
  <si>
    <t>Regresión potencial</t>
  </si>
  <si>
    <t xml:space="preserve">   *  T</t>
  </si>
  <si>
    <t xml:space="preserve">    </t>
  </si>
  <si>
    <t>t</t>
  </si>
  <si>
    <t>Donde:</t>
  </si>
  <si>
    <t>I = intensidad de precipitación (mm/hr)</t>
  </si>
  <si>
    <t>T = Periodo de Retorno (años)</t>
  </si>
  <si>
    <t>t = Tiempo de duración de precipitación (min)</t>
  </si>
  <si>
    <t xml:space="preserve">Frecuencia </t>
  </si>
  <si>
    <t>Duración en minutos</t>
  </si>
  <si>
    <t>años</t>
  </si>
  <si>
    <t>Tabla de intensidades - Tiempo de duración</t>
  </si>
  <si>
    <t>d =</t>
  </si>
  <si>
    <t>Ln (d) =</t>
  </si>
  <si>
    <t>Representación matemática de las curvas Intensidad - Duración - Período de retorno:</t>
  </si>
  <si>
    <t>Con lo que de la anterior expresión se obtiene:</t>
  </si>
  <si>
    <t>La ecuación de intensidad válida para la cuenca resulta:</t>
  </si>
  <si>
    <t>K, m, n =</t>
  </si>
  <si>
    <t>n =</t>
  </si>
  <si>
    <t>regresión [n]</t>
  </si>
  <si>
    <t>Ln (K) =</t>
  </si>
  <si>
    <t>K =</t>
  </si>
  <si>
    <t>m =</t>
  </si>
  <si>
    <t>Termino constante de regresión (K) =</t>
  </si>
  <si>
    <t xml:space="preserve">               Coef. de regresión (m)  =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</si>
  <si>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</si>
  <si>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</si>
  <si>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</si>
  <si>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</si>
  <si>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</si>
  <si>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</si>
  <si>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</si>
  <si>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</si>
  <si>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</si>
  <si>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</si>
  <si>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</si>
  <si>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</si>
  <si>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AÑO</t>
  </si>
  <si>
    <t>T</t>
  </si>
  <si>
    <t>PRECIPITACIÓN MAXIMA MENSUAL</t>
  </si>
  <si>
    <t xml:space="preserve">MÁXIMA </t>
  </si>
  <si>
    <t>Mes Max. Precip.</t>
  </si>
  <si>
    <t>Media</t>
  </si>
  <si>
    <t>Desviación estandar</t>
  </si>
  <si>
    <t>alfa</t>
  </si>
  <si>
    <t>U</t>
  </si>
  <si>
    <t>intensidad de lluvia</t>
  </si>
  <si>
    <t>N° orden</t>
  </si>
  <si>
    <t>Detalle</t>
  </si>
  <si>
    <t>Tipo de superficie</t>
  </si>
  <si>
    <t>área (m2)</t>
  </si>
  <si>
    <t>Q (m3/s)</t>
  </si>
  <si>
    <t>Q (l/s)</t>
  </si>
  <si>
    <t>Césped, suelo arcilloso S promedio (2-7%)</t>
  </si>
  <si>
    <t>Césped, suelo arenoso S promedio (2-7%)</t>
  </si>
  <si>
    <t>TOTAL</t>
  </si>
  <si>
    <t>Techos y azoteas</t>
  </si>
  <si>
    <t>Pavimento Asfaltico</t>
  </si>
  <si>
    <t>Pavimento de Concreto</t>
  </si>
  <si>
    <t>Pavimento de adoquines</t>
  </si>
  <si>
    <t>Césped, suelo arenoso S pronunciada (&gt;7%)</t>
  </si>
  <si>
    <t>Coeficiente de Escorrentia - Zona Urbana</t>
  </si>
  <si>
    <t>CARACTERISTICA  DE  LA  SUPERFICIE</t>
  </si>
  <si>
    <t>COEFICIENTE DE ESCORRENTIA</t>
  </si>
  <si>
    <t>Veredas</t>
  </si>
  <si>
    <t>Césped, suelo arenoso S plana (0-2%)</t>
  </si>
  <si>
    <t>Césped, suelo arcilloso S plana (0-2%)</t>
  </si>
  <si>
    <t>Césped, suelo arcilloso S pronunciada (&gt;7%)</t>
  </si>
  <si>
    <t>Tabla 1.b</t>
  </si>
  <si>
    <t>Coeficiente de escorrentia promedio para áreas urbanas.</t>
  </si>
  <si>
    <t>Para 5 y 10 años de periodo de retorno</t>
  </si>
  <si>
    <t>Calles</t>
  </si>
  <si>
    <t>Césped, suelo arenoso</t>
  </si>
  <si>
    <t>Pendiente plana (0-2%)</t>
  </si>
  <si>
    <t>Pendiente promedio (2-7%)</t>
  </si>
  <si>
    <t>Pendiente pronunciada (&gt;7%)</t>
  </si>
  <si>
    <t>Césped, suelo arcilloso</t>
  </si>
  <si>
    <t>Fuente: Nueva Norma tecnica CE 040.</t>
  </si>
  <si>
    <t>C Promedio</t>
  </si>
  <si>
    <t>Periodo de retorno para T = 10 años</t>
  </si>
  <si>
    <t>Bloque 01</t>
  </si>
  <si>
    <t>Secundaria</t>
  </si>
  <si>
    <t>Bloque 02</t>
  </si>
  <si>
    <t>Bloque 03</t>
  </si>
  <si>
    <t>Bloque 04</t>
  </si>
  <si>
    <t>Bloque 05</t>
  </si>
  <si>
    <t>Puente 01</t>
  </si>
  <si>
    <t>Puente 02</t>
  </si>
  <si>
    <t>Puente 03</t>
  </si>
  <si>
    <t>Puente 04</t>
  </si>
  <si>
    <t>Puente 05</t>
  </si>
  <si>
    <t>Rampa</t>
  </si>
  <si>
    <t>Losa deportiva</t>
  </si>
  <si>
    <t>Bloque 14</t>
  </si>
  <si>
    <t>Puente 06</t>
  </si>
  <si>
    <t>Primaria</t>
  </si>
  <si>
    <t>Bloque 06</t>
  </si>
  <si>
    <t>Bloque 07</t>
  </si>
  <si>
    <t>Bloque 08</t>
  </si>
  <si>
    <t>Bloque 09</t>
  </si>
  <si>
    <t>Bloque 10</t>
  </si>
  <si>
    <t>Bloque 11</t>
  </si>
  <si>
    <t>Bloque 12</t>
  </si>
  <si>
    <t>Puente 07</t>
  </si>
  <si>
    <t>Puente 08</t>
  </si>
  <si>
    <t>Zona deportiva</t>
  </si>
  <si>
    <t>Bloque 13</t>
  </si>
  <si>
    <t>Bloque 15</t>
  </si>
  <si>
    <t>Bloque 16</t>
  </si>
  <si>
    <t>Bloque 17</t>
  </si>
  <si>
    <t>Bloque 18</t>
  </si>
  <si>
    <t>Bloque 19</t>
  </si>
  <si>
    <t>Tiempo de Duración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</si>
</sst>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-* #,##0.00_-;\-* #,##0.00_-;_-* &quot;-&quot;??_-;_-@_-"/>
    <numFmt numFmtId="164" formatCode="0.0000"/>
    <numFmt numFmtId="165" formatCode="0&quot; años&quot;"/>
    <numFmt numFmtId="166" formatCode="0&quot; hr&quot;"/>
    <numFmt numFmtId="167" formatCode="0.000"/>
    <numFmt numFmtId="168" formatCode="0.00000000000"/>
    <numFmt numFmtId="169" formatCode="0.000000"/>
    <numFmt numFmtId="170" formatCode="_([$€]* #,##0.00_);_([$€]* \(#,##0.00\);_([$€]* &quot;-&quot;??_);_(@_)"/>
    <numFmt numFmtId="171" formatCode="0.000000000"/>
    <numFmt numFmtId="172" formatCode="0.00000"/>
    <numFmt numFmtId="173" formatCode="_-* #,##0.000_-;\-* #,##0.000_-;_-* &quot;-&quot;??_-;_-@_-"/>
    <numFmt numFmtId="174" formatCode="_-* #,##0.0000_-;\-* #,##0.0000_-;_-* &quot;-&quot;??_-;_-@_-"/>
    <numFmt numFmtId="175" formatCode="0.0000000000000000"/>
    <numFmt numFmtId="176" formatCode="0.00\ &quot;mm/hora&quot;"/>
    <numFmt numFmtId="177" formatCode="0.00000\ &quot;m/s&quot;"/>
  </numFmts>
  <fonts count="4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i/>
      <sz val="9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16"/>
      <name val="Arial"/>
      <family val="2"/>
    </font>
    <font>
      <sz val="8"/>
      <name val="Times New Roman"/>
      <family val="1"/>
    </font>
    <font>
      <b/>
      <i/>
      <sz val="12"/>
      <name val="Arial"/>
      <family val="2"/>
    </font>
    <font>
      <sz val="11"/>
      <name val="Arial"/>
      <family val="2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u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indexed="48"/>
      <name val="Arial"/>
      <family val="2"/>
    </font>
    <font>
      <b/>
      <i/>
      <u/>
      <sz val="10"/>
      <name val="Arial"/>
      <family val="2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u/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theme="0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  <font>
      <sz val="8"/>
      <name val="Calibri"/>
      <family val="2"/>
      <scheme val="minor"/>
    </font>
    <font>
      <b/>
      <sz val="10"/>
      <color theme="1"/>
      <name val="Arial Nova Cond"/>
      <family val="2"/>
    </font>
    <font>
      <sz val="10"/>
      <color theme="1"/>
      <name val="Arial Nova Cond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0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12"/>
      </left>
      <right/>
      <top style="double">
        <color indexed="12"/>
      </top>
      <bottom/>
      <diagonal/>
    </border>
    <border>
      <left/>
      <right/>
      <top style="double">
        <color indexed="12"/>
      </top>
      <bottom/>
      <diagonal/>
    </border>
    <border>
      <left/>
      <right style="double">
        <color indexed="12"/>
      </right>
      <top/>
      <bottom/>
      <diagonal/>
    </border>
    <border>
      <left style="double">
        <color indexed="12"/>
      </left>
      <right/>
      <top/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12"/>
      </right>
      <top style="double">
        <color indexed="12"/>
      </top>
      <bottom/>
      <diagonal/>
    </border>
    <border>
      <left style="double">
        <color indexed="12"/>
      </left>
      <right/>
      <top/>
      <bottom/>
      <diagonal/>
    </border>
    <border>
      <left/>
      <right/>
      <top/>
      <bottom style="double">
        <color indexed="1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9" fillId="20" borderId="70" applyNumberFormat="0" applyAlignment="0" applyProtection="0"/>
    <xf numFmtId="0" fontId="20" fillId="21" borderId="71" applyNumberFormat="0" applyAlignment="0" applyProtection="0"/>
    <xf numFmtId="0" fontId="21" fillId="0" borderId="72" applyNumberFormat="0" applyFill="0" applyAlignment="0" applyProtection="0"/>
    <xf numFmtId="0" fontId="22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18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3" fillId="28" borderId="70" applyNumberFormat="0" applyAlignment="0" applyProtection="0"/>
    <xf numFmtId="170" fontId="1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25" fillId="29" borderId="0" applyNumberFormat="0" applyBorder="0" applyAlignment="0" applyProtection="0"/>
    <xf numFmtId="0" fontId="26" fillId="30" borderId="0" applyNumberFormat="0" applyBorder="0" applyAlignment="0" applyProtection="0"/>
    <xf numFmtId="0" fontId="17" fillId="31" borderId="73" applyNumberFormat="0" applyFont="0" applyAlignment="0" applyProtection="0"/>
    <xf numFmtId="0" fontId="27" fillId="20" borderId="74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75" applyNumberFormat="0" applyFill="0" applyAlignment="0" applyProtection="0"/>
    <xf numFmtId="0" fontId="22" fillId="0" borderId="76" applyNumberFormat="0" applyFill="0" applyAlignment="0" applyProtection="0"/>
    <xf numFmtId="0" fontId="32" fillId="0" borderId="77" applyNumberFormat="0" applyFill="0" applyAlignment="0" applyProtection="0"/>
    <xf numFmtId="43" fontId="17" fillId="0" borderId="0" applyFont="0" applyFill="0" applyBorder="0" applyAlignment="0" applyProtection="0"/>
  </cellStyleXfs>
  <cellXfs count="392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16" xfId="0" applyFont="1" applyBorder="1" applyAlignment="1">
      <alignment horizontal="left" vertical="center"/>
    </xf>
    <xf numFmtId="2" fontId="1" fillId="0" borderId="16" xfId="0" applyNumberFormat="1" applyFont="1" applyBorder="1" applyAlignment="1">
      <alignment horizontal="left" vertical="center"/>
    </xf>
    <xf numFmtId="2" fontId="1" fillId="34" borderId="0" xfId="0" applyNumberFormat="1" applyFont="1" applyFill="1" applyBorder="1" applyAlignment="1">
      <alignment horizontal="center" vertical="center"/>
    </xf>
    <xf numFmtId="0" fontId="1" fillId="33" borderId="8" xfId="0" applyFont="1" applyFill="1" applyBorder="1" applyAlignment="1">
      <alignment horizontal="center" vertical="center"/>
    </xf>
    <xf numFmtId="0" fontId="1" fillId="33" borderId="9" xfId="0" applyFont="1" applyFill="1" applyBorder="1" applyAlignment="1">
      <alignment horizontal="center" vertical="center"/>
    </xf>
    <xf numFmtId="0" fontId="1" fillId="33" borderId="10" xfId="0" applyFont="1" applyFill="1" applyBorder="1" applyAlignment="1">
      <alignment horizontal="center" vertical="center"/>
    </xf>
    <xf numFmtId="164" fontId="1" fillId="34" borderId="29" xfId="0" applyNumberFormat="1" applyFont="1" applyFill="1" applyBorder="1" applyAlignment="1">
      <alignment horizontal="center" vertical="center"/>
    </xf>
    <xf numFmtId="164" fontId="1" fillId="34" borderId="30" xfId="0" applyNumberFormat="1" applyFont="1" applyFill="1" applyBorder="1" applyAlignment="1">
      <alignment horizontal="center" vertical="center"/>
    </xf>
    <xf numFmtId="164" fontId="1" fillId="34" borderId="13" xfId="0" applyNumberFormat="1" applyFont="1" applyFill="1" applyBorder="1" applyAlignment="1">
      <alignment horizontal="center" vertical="center"/>
    </xf>
    <xf numFmtId="164" fontId="1" fillId="35" borderId="27" xfId="0" applyNumberFormat="1" applyFont="1" applyFill="1" applyBorder="1" applyAlignment="1">
      <alignment horizontal="center" vertical="center"/>
    </xf>
    <xf numFmtId="164" fontId="1" fillId="35" borderId="28" xfId="0" applyNumberFormat="1" applyFont="1" applyFill="1" applyBorder="1" applyAlignment="1">
      <alignment horizontal="center" vertical="center"/>
    </xf>
    <xf numFmtId="164" fontId="1" fillId="35" borderId="14" xfId="0" applyNumberFormat="1" applyFont="1" applyFill="1" applyBorder="1" applyAlignment="1">
      <alignment horizontal="center" vertical="center"/>
    </xf>
    <xf numFmtId="0" fontId="9" fillId="32" borderId="1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right" vertical="center"/>
    </xf>
    <xf numFmtId="169" fontId="1" fillId="0" borderId="0" xfId="0" applyNumberFormat="1" applyFont="1" applyAlignment="1">
      <alignment vertical="center"/>
    </xf>
    <xf numFmtId="171" fontId="1" fillId="0" borderId="0" xfId="30" applyNumberFormat="1" applyFont="1" applyAlignment="1">
      <alignment horizontal="center" vertical="center"/>
    </xf>
    <xf numFmtId="172" fontId="1" fillId="0" borderId="0" xfId="0" applyNumberFormat="1" applyFont="1" applyAlignment="1">
      <alignment horizontal="left" vertical="center"/>
    </xf>
    <xf numFmtId="0" fontId="7" fillId="33" borderId="29" xfId="0" applyFont="1" applyFill="1" applyBorder="1" applyAlignment="1">
      <alignment horizontal="center" vertical="center"/>
    </xf>
    <xf numFmtId="0" fontId="1" fillId="32" borderId="51" xfId="0" applyFont="1" applyFill="1" applyBorder="1" applyAlignment="1">
      <alignment horizontal="center" vertical="center"/>
    </xf>
    <xf numFmtId="164" fontId="1" fillId="32" borderId="11" xfId="0" applyNumberFormat="1" applyFont="1" applyFill="1" applyBorder="1" applyAlignment="1">
      <alignment horizontal="center" vertical="center"/>
    </xf>
    <xf numFmtId="164" fontId="1" fillId="34" borderId="27" xfId="0" applyNumberFormat="1" applyFont="1" applyFill="1" applyBorder="1" applyAlignment="1">
      <alignment horizontal="center" vertical="center"/>
    </xf>
    <xf numFmtId="164" fontId="1" fillId="34" borderId="28" xfId="0" applyNumberFormat="1" applyFont="1" applyFill="1" applyBorder="1" applyAlignment="1">
      <alignment horizontal="center" vertical="center"/>
    </xf>
    <xf numFmtId="164" fontId="1" fillId="34" borderId="14" xfId="0" applyNumberFormat="1" applyFont="1" applyFill="1" applyBorder="1" applyAlignment="1">
      <alignment horizontal="center" vertical="center"/>
    </xf>
    <xf numFmtId="164" fontId="7" fillId="33" borderId="29" xfId="0" applyNumberFormat="1" applyFont="1" applyFill="1" applyBorder="1" applyAlignment="1">
      <alignment horizontal="center" vertical="center"/>
    </xf>
    <xf numFmtId="0" fontId="7" fillId="33" borderId="30" xfId="0" applyFont="1" applyFill="1" applyBorder="1" applyAlignment="1">
      <alignment horizontal="center" vertical="center"/>
    </xf>
    <xf numFmtId="164" fontId="7" fillId="33" borderId="30" xfId="0" applyNumberFormat="1" applyFont="1" applyFill="1" applyBorder="1" applyAlignment="1">
      <alignment horizontal="center" vertical="center"/>
    </xf>
    <xf numFmtId="0" fontId="7" fillId="33" borderId="13" xfId="0" applyFont="1" applyFill="1" applyBorder="1" applyAlignment="1">
      <alignment horizontal="center" vertical="center"/>
    </xf>
    <xf numFmtId="164" fontId="7" fillId="33" borderId="13" xfId="0" applyNumberFormat="1" applyFont="1" applyFill="1" applyBorder="1" applyAlignment="1">
      <alignment horizontal="center" vertical="center"/>
    </xf>
    <xf numFmtId="0" fontId="9" fillId="32" borderId="33" xfId="0" applyFont="1" applyFill="1" applyBorder="1" applyAlignment="1">
      <alignment horizontal="center" vertical="center"/>
    </xf>
    <xf numFmtId="0" fontId="9" fillId="32" borderId="11" xfId="0" applyFont="1" applyFill="1" applyBorder="1" applyAlignment="1">
      <alignment horizontal="center" vertical="center"/>
    </xf>
    <xf numFmtId="0" fontId="9" fillId="32" borderId="34" xfId="0" applyFont="1" applyFill="1" applyBorder="1" applyAlignment="1">
      <alignment horizontal="center" vertical="center"/>
    </xf>
    <xf numFmtId="0" fontId="9" fillId="32" borderId="8" xfId="0" applyFont="1" applyFill="1" applyBorder="1" applyAlignment="1">
      <alignment horizontal="center" vertical="center"/>
    </xf>
    <xf numFmtId="0" fontId="9" fillId="32" borderId="9" xfId="0" applyFont="1" applyFill="1" applyBorder="1" applyAlignment="1">
      <alignment horizontal="center" vertical="center"/>
    </xf>
    <xf numFmtId="167" fontId="8" fillId="36" borderId="52" xfId="0" applyNumberFormat="1" applyFont="1" applyFill="1" applyBorder="1" applyAlignment="1">
      <alignment horizontal="right" vertical="center"/>
    </xf>
    <xf numFmtId="164" fontId="9" fillId="36" borderId="53" xfId="0" applyNumberFormat="1" applyFont="1" applyFill="1" applyBorder="1" applyAlignment="1">
      <alignment horizontal="center" vertical="center"/>
    </xf>
    <xf numFmtId="0" fontId="8" fillId="36" borderId="5" xfId="0" applyFont="1" applyFill="1" applyBorder="1" applyAlignment="1">
      <alignment horizontal="right" vertical="center"/>
    </xf>
    <xf numFmtId="164" fontId="9" fillId="36" borderId="3" xfId="0" applyNumberFormat="1" applyFont="1" applyFill="1" applyBorder="1" applyAlignment="1">
      <alignment horizontal="center" vertical="center"/>
    </xf>
    <xf numFmtId="0" fontId="8" fillId="36" borderId="53" xfId="0" applyFont="1" applyFill="1" applyBorder="1" applyAlignment="1">
      <alignment horizontal="right" vertical="center"/>
    </xf>
    <xf numFmtId="0" fontId="15" fillId="36" borderId="54" xfId="0" applyFont="1" applyFill="1" applyBorder="1" applyAlignment="1">
      <alignment vertical="center"/>
    </xf>
    <xf numFmtId="0" fontId="7" fillId="32" borderId="55" xfId="0" applyFont="1" applyFill="1" applyBorder="1" applyAlignment="1">
      <alignment horizontal="center" vertical="center"/>
    </xf>
    <xf numFmtId="0" fontId="7" fillId="32" borderId="32" xfId="0" applyFont="1" applyFill="1" applyBorder="1" applyAlignment="1">
      <alignment horizontal="center" vertical="center"/>
    </xf>
    <xf numFmtId="1" fontId="1" fillId="32" borderId="4" xfId="0" applyNumberFormat="1" applyFont="1" applyFill="1" applyBorder="1" applyAlignment="1">
      <alignment horizontal="center" vertical="center"/>
    </xf>
    <xf numFmtId="164" fontId="1" fillId="32" borderId="4" xfId="0" applyNumberFormat="1" applyFont="1" applyFill="1" applyBorder="1" applyAlignment="1">
      <alignment horizontal="center" vertical="center"/>
    </xf>
    <xf numFmtId="164" fontId="7" fillId="34" borderId="51" xfId="0" applyNumberFormat="1" applyFont="1" applyFill="1" applyBorder="1" applyAlignment="1">
      <alignment horizontal="center" vertical="center"/>
    </xf>
    <xf numFmtId="164" fontId="7" fillId="35" borderId="4" xfId="0" applyNumberFormat="1" applyFont="1" applyFill="1" applyBorder="1" applyAlignment="1">
      <alignment horizontal="center" vertical="center"/>
    </xf>
    <xf numFmtId="164" fontId="7" fillId="35" borderId="31" xfId="0" applyNumberFormat="1" applyFont="1" applyFill="1" applyBorder="1" applyAlignment="1">
      <alignment horizontal="center" vertical="center"/>
    </xf>
    <xf numFmtId="164" fontId="1" fillId="34" borderId="11" xfId="0" applyNumberFormat="1" applyFont="1" applyFill="1" applyBorder="1" applyAlignment="1">
      <alignment horizontal="center" vertical="center"/>
    </xf>
    <xf numFmtId="164" fontId="1" fillId="34" borderId="34" xfId="0" applyNumberFormat="1" applyFont="1" applyFill="1" applyBorder="1" applyAlignment="1">
      <alignment horizontal="center" vertical="center"/>
    </xf>
    <xf numFmtId="164" fontId="1" fillId="34" borderId="51" xfId="0" applyNumberFormat="1" applyFont="1" applyFill="1" applyBorder="1" applyAlignment="1">
      <alignment horizontal="center" vertical="center"/>
    </xf>
    <xf numFmtId="164" fontId="1" fillId="34" borderId="56" xfId="0" applyNumberFormat="1" applyFont="1" applyFill="1" applyBorder="1" applyAlignment="1">
      <alignment horizontal="center" vertical="center"/>
    </xf>
    <xf numFmtId="164" fontId="1" fillId="34" borderId="12" xfId="0" applyNumberFormat="1" applyFont="1" applyFill="1" applyBorder="1" applyAlignment="1">
      <alignment horizontal="center" vertical="center"/>
    </xf>
    <xf numFmtId="164" fontId="1" fillId="34" borderId="45" xfId="0" applyNumberFormat="1" applyFont="1" applyFill="1" applyBorder="1" applyAlignment="1">
      <alignment horizontal="center" vertical="center"/>
    </xf>
    <xf numFmtId="1" fontId="7" fillId="34" borderId="11" xfId="0" applyNumberFormat="1" applyFont="1" applyFill="1" applyBorder="1" applyAlignment="1">
      <alignment horizontal="center" vertical="center"/>
    </xf>
    <xf numFmtId="164" fontId="7" fillId="34" borderId="11" xfId="0" applyNumberFormat="1" applyFont="1" applyFill="1" applyBorder="1" applyAlignment="1">
      <alignment horizontal="center" vertical="center"/>
    </xf>
    <xf numFmtId="1" fontId="7" fillId="34" borderId="51" xfId="0" applyNumberFormat="1" applyFont="1" applyFill="1" applyBorder="1" applyAlignment="1">
      <alignment horizontal="center" vertical="center"/>
    </xf>
    <xf numFmtId="1" fontId="7" fillId="34" borderId="12" xfId="0" applyNumberFormat="1" applyFont="1" applyFill="1" applyBorder="1" applyAlignment="1">
      <alignment horizontal="center" vertical="center"/>
    </xf>
    <xf numFmtId="164" fontId="7" fillId="34" borderId="12" xfId="0" applyNumberFormat="1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vertical="center"/>
    </xf>
    <xf numFmtId="0" fontId="7" fillId="32" borderId="57" xfId="0" applyFont="1" applyFill="1" applyBorder="1" applyAlignment="1">
      <alignment horizontal="center"/>
    </xf>
    <xf numFmtId="0" fontId="7" fillId="32" borderId="58" xfId="0" applyFont="1" applyFill="1" applyBorder="1" applyAlignment="1">
      <alignment horizontal="center"/>
    </xf>
    <xf numFmtId="0" fontId="7" fillId="32" borderId="10" xfId="0" applyFont="1" applyFill="1" applyBorder="1" applyAlignment="1">
      <alignment horizontal="center"/>
    </xf>
    <xf numFmtId="0" fontId="7" fillId="32" borderId="13" xfId="0" applyFont="1" applyFill="1" applyBorder="1" applyAlignment="1">
      <alignment horizontal="center"/>
    </xf>
    <xf numFmtId="0" fontId="7" fillId="32" borderId="14" xfId="0" applyFont="1" applyFill="1" applyBorder="1" applyAlignment="1">
      <alignment horizontal="center"/>
    </xf>
    <xf numFmtId="0" fontId="7" fillId="33" borderId="6" xfId="0" applyFont="1" applyFill="1" applyBorder="1" applyAlignment="1">
      <alignment horizontal="center"/>
    </xf>
    <xf numFmtId="0" fontId="7" fillId="33" borderId="7" xfId="0" applyFont="1" applyFill="1" applyBorder="1" applyAlignment="1">
      <alignment horizontal="center"/>
    </xf>
    <xf numFmtId="0" fontId="7" fillId="33" borderId="43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32" borderId="30" xfId="0" applyFont="1" applyFill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83" xfId="0" applyFont="1" applyBorder="1" applyAlignment="1">
      <alignment horizontal="center" vertical="center"/>
    </xf>
    <xf numFmtId="0" fontId="1" fillId="0" borderId="92" xfId="0" applyFont="1" applyBorder="1" applyAlignment="1">
      <alignment horizontal="center" vertical="center"/>
    </xf>
    <xf numFmtId="0" fontId="7" fillId="34" borderId="30" xfId="0" applyFont="1" applyFill="1" applyBorder="1" applyAlignment="1">
      <alignment horizontal="center" vertical="center"/>
    </xf>
    <xf numFmtId="0" fontId="3" fillId="32" borderId="59" xfId="0" applyFont="1" applyFill="1" applyBorder="1" applyAlignment="1">
      <alignment horizontal="center" vertical="center"/>
    </xf>
    <xf numFmtId="173" fontId="1" fillId="34" borderId="90" xfId="42" applyNumberFormat="1" applyFont="1" applyFill="1" applyBorder="1" applyAlignment="1">
      <alignment horizontal="right" vertical="center" indent="1"/>
    </xf>
    <xf numFmtId="173" fontId="1" fillId="34" borderId="81" xfId="42" applyNumberFormat="1" applyFont="1" applyFill="1" applyBorder="1" applyAlignment="1">
      <alignment horizontal="right" vertical="center" indent="1"/>
    </xf>
    <xf numFmtId="173" fontId="1" fillId="34" borderId="82" xfId="42" applyNumberFormat="1" applyFont="1" applyFill="1" applyBorder="1" applyAlignment="1">
      <alignment horizontal="right" vertical="center" indent="1"/>
    </xf>
    <xf numFmtId="0" fontId="0" fillId="38" borderId="0" xfId="0" applyFill="1"/>
    <xf numFmtId="0" fontId="4" fillId="38" borderId="0" xfId="0" applyFont="1" applyFill="1" applyAlignment="1">
      <alignment vertical="center"/>
    </xf>
    <xf numFmtId="0" fontId="5" fillId="38" borderId="0" xfId="0" applyFont="1" applyFill="1" applyAlignment="1">
      <alignment vertical="center"/>
    </xf>
    <xf numFmtId="0" fontId="1" fillId="38" borderId="0" xfId="0" applyFont="1" applyFill="1" applyAlignment="1">
      <alignment vertical="center"/>
    </xf>
    <xf numFmtId="164" fontId="4" fillId="38" borderId="0" xfId="0" applyNumberFormat="1" applyFont="1" applyFill="1" applyAlignment="1">
      <alignment vertical="center"/>
    </xf>
    <xf numFmtId="0" fontId="4" fillId="38" borderId="30" xfId="0" applyFont="1" applyFill="1" applyBorder="1" applyAlignment="1">
      <alignment horizontal="center" vertical="center"/>
    </xf>
    <xf numFmtId="164" fontId="4" fillId="38" borderId="30" xfId="0" applyNumberFormat="1" applyFont="1" applyFill="1" applyBorder="1" applyAlignment="1">
      <alignment horizontal="center" vertical="center"/>
    </xf>
    <xf numFmtId="0" fontId="4" fillId="38" borderId="30" xfId="0" applyFont="1" applyFill="1" applyBorder="1" applyAlignment="1">
      <alignment vertical="center"/>
    </xf>
    <xf numFmtId="164" fontId="4" fillId="38" borderId="30" xfId="0" applyNumberFormat="1" applyFont="1" applyFill="1" applyBorder="1" applyAlignment="1">
      <alignment vertical="center"/>
    </xf>
    <xf numFmtId="0" fontId="1" fillId="38" borderId="30" xfId="0" applyFont="1" applyFill="1" applyBorder="1" applyAlignment="1">
      <alignment horizontal="center" vertical="center"/>
    </xf>
    <xf numFmtId="164" fontId="1" fillId="38" borderId="30" xfId="0" applyNumberFormat="1" applyFont="1" applyFill="1" applyBorder="1" applyAlignment="1">
      <alignment horizontal="center" vertical="center"/>
    </xf>
    <xf numFmtId="164" fontId="7" fillId="34" borderId="56" xfId="0" applyNumberFormat="1" applyFont="1" applyFill="1" applyBorder="1" applyAlignment="1">
      <alignment horizontal="center" vertical="center"/>
    </xf>
    <xf numFmtId="0" fontId="1" fillId="38" borderId="0" xfId="0" applyFont="1" applyFill="1" applyAlignment="1">
      <alignment horizontal="center" vertical="center"/>
    </xf>
    <xf numFmtId="167" fontId="2" fillId="38" borderId="0" xfId="0" applyNumberFormat="1" applyFont="1" applyFill="1" applyAlignment="1">
      <alignment horizontal="right" vertical="center"/>
    </xf>
    <xf numFmtId="164" fontId="1" fillId="38" borderId="0" xfId="0" applyNumberFormat="1" applyFont="1" applyFill="1" applyAlignment="1">
      <alignment horizontal="center" vertical="center"/>
    </xf>
    <xf numFmtId="0" fontId="2" fillId="38" borderId="0" xfId="0" applyFont="1" applyFill="1" applyAlignment="1">
      <alignment horizontal="right" vertical="center"/>
    </xf>
    <xf numFmtId="164" fontId="10" fillId="38" borderId="0" xfId="0" applyNumberFormat="1" applyFont="1" applyFill="1" applyAlignment="1">
      <alignment horizontal="center" vertical="center"/>
    </xf>
    <xf numFmtId="167" fontId="8" fillId="38" borderId="0" xfId="0" applyNumberFormat="1" applyFont="1" applyFill="1" applyBorder="1" applyAlignment="1">
      <alignment horizontal="right" vertical="center"/>
    </xf>
    <xf numFmtId="164" fontId="9" fillId="38" borderId="0" xfId="0" applyNumberFormat="1" applyFont="1" applyFill="1" applyBorder="1" applyAlignment="1">
      <alignment horizontal="center" vertical="center"/>
    </xf>
    <xf numFmtId="0" fontId="8" fillId="38" borderId="0" xfId="0" applyFont="1" applyFill="1" applyBorder="1" applyAlignment="1">
      <alignment horizontal="right" vertical="center"/>
    </xf>
    <xf numFmtId="0" fontId="15" fillId="38" borderId="0" xfId="0" applyFont="1" applyFill="1" applyBorder="1" applyAlignment="1">
      <alignment vertical="center"/>
    </xf>
    <xf numFmtId="0" fontId="4" fillId="38" borderId="0" xfId="0" applyFont="1" applyFill="1" applyBorder="1" applyAlignment="1">
      <alignment horizontal="center" vertical="center"/>
    </xf>
    <xf numFmtId="0" fontId="4" fillId="38" borderId="0" xfId="0" applyFont="1" applyFill="1" applyBorder="1" applyAlignment="1">
      <alignment vertical="center"/>
    </xf>
    <xf numFmtId="0" fontId="33" fillId="0" borderId="0" xfId="0" applyFont="1"/>
    <xf numFmtId="0" fontId="34" fillId="0" borderId="0" xfId="0" applyFont="1"/>
    <xf numFmtId="0" fontId="35" fillId="0" borderId="19" xfId="0" applyFont="1" applyBorder="1"/>
    <xf numFmtId="0" fontId="34" fillId="0" borderId="20" xfId="0" applyFont="1" applyBorder="1"/>
    <xf numFmtId="0" fontId="34" fillId="0" borderId="1" xfId="0" applyFont="1" applyBorder="1"/>
    <xf numFmtId="0" fontId="34" fillId="0" borderId="15" xfId="0" applyFont="1" applyBorder="1"/>
    <xf numFmtId="0" fontId="34" fillId="0" borderId="0" xfId="0" applyFont="1" applyBorder="1"/>
    <xf numFmtId="0" fontId="34" fillId="0" borderId="16" xfId="0" applyFont="1" applyBorder="1"/>
    <xf numFmtId="0" fontId="34" fillId="33" borderId="90" xfId="0" applyFont="1" applyFill="1" applyBorder="1" applyAlignment="1">
      <alignment horizontal="center"/>
    </xf>
    <xf numFmtId="2" fontId="34" fillId="33" borderId="78" xfId="0" applyNumberFormat="1" applyFont="1" applyFill="1" applyBorder="1" applyAlignment="1">
      <alignment horizontal="right" indent="2"/>
    </xf>
    <xf numFmtId="2" fontId="34" fillId="33" borderId="95" xfId="0" applyNumberFormat="1" applyFont="1" applyFill="1" applyBorder="1" applyAlignment="1">
      <alignment horizontal="right" indent="2"/>
    </xf>
    <xf numFmtId="0" fontId="3" fillId="32" borderId="33" xfId="0" applyFont="1" applyFill="1" applyBorder="1" applyAlignment="1">
      <alignment horizontal="center" vertical="center"/>
    </xf>
    <xf numFmtId="0" fontId="3" fillId="32" borderId="11" xfId="0" applyFont="1" applyFill="1" applyBorder="1" applyAlignment="1">
      <alignment horizontal="center" vertical="center"/>
    </xf>
    <xf numFmtId="0" fontId="3" fillId="32" borderId="34" xfId="0" applyFont="1" applyFill="1" applyBorder="1" applyAlignment="1">
      <alignment horizontal="center" vertical="center"/>
    </xf>
    <xf numFmtId="0" fontId="34" fillId="33" borderId="81" xfId="0" applyFont="1" applyFill="1" applyBorder="1" applyAlignment="1">
      <alignment horizontal="center"/>
    </xf>
    <xf numFmtId="2" fontId="34" fillId="33" borderId="79" xfId="0" applyNumberFormat="1" applyFont="1" applyFill="1" applyBorder="1" applyAlignment="1">
      <alignment horizontal="right" indent="2"/>
    </xf>
    <xf numFmtId="2" fontId="34" fillId="33" borderId="96" xfId="0" applyNumberFormat="1" applyFont="1" applyFill="1" applyBorder="1" applyAlignment="1">
      <alignment horizontal="right" indent="2"/>
    </xf>
    <xf numFmtId="0" fontId="34" fillId="0" borderId="21" xfId="0" applyFont="1" applyBorder="1"/>
    <xf numFmtId="0" fontId="34" fillId="0" borderId="22" xfId="0" applyFont="1" applyBorder="1"/>
    <xf numFmtId="0" fontId="34" fillId="0" borderId="23" xfId="0" applyFont="1" applyBorder="1"/>
    <xf numFmtId="0" fontId="3" fillId="32" borderId="35" xfId="0" applyFont="1" applyFill="1" applyBorder="1" applyAlignment="1">
      <alignment horizontal="center" vertical="center"/>
    </xf>
    <xf numFmtId="0" fontId="3" fillId="32" borderId="36" xfId="0" applyFont="1" applyFill="1" applyBorder="1" applyAlignment="1">
      <alignment horizontal="center" vertical="center"/>
    </xf>
    <xf numFmtId="0" fontId="3" fillId="32" borderId="37" xfId="0" applyFont="1" applyFill="1" applyBorder="1" applyAlignment="1">
      <alignment horizontal="center" vertical="center"/>
    </xf>
    <xf numFmtId="0" fontId="35" fillId="0" borderId="15" xfId="0" applyFont="1" applyBorder="1"/>
    <xf numFmtId="0" fontId="3" fillId="32" borderId="10" xfId="0" applyFont="1" applyFill="1" applyBorder="1" applyAlignment="1">
      <alignment horizontal="center" vertical="center"/>
    </xf>
    <xf numFmtId="0" fontId="3" fillId="32" borderId="13" xfId="0" applyFont="1" applyFill="1" applyBorder="1" applyAlignment="1">
      <alignment horizontal="center" vertical="center"/>
    </xf>
    <xf numFmtId="0" fontId="3" fillId="32" borderId="14" xfId="0" applyFont="1" applyFill="1" applyBorder="1" applyAlignment="1">
      <alignment horizontal="center" vertical="center"/>
    </xf>
    <xf numFmtId="0" fontId="34" fillId="0" borderId="24" xfId="0" applyFont="1" applyBorder="1"/>
    <xf numFmtId="0" fontId="34" fillId="0" borderId="25" xfId="0" applyFont="1" applyBorder="1"/>
    <xf numFmtId="0" fontId="34" fillId="0" borderId="17" xfId="0" applyFont="1" applyBorder="1"/>
    <xf numFmtId="0" fontId="34" fillId="0" borderId="18" xfId="0" applyFont="1" applyBorder="1"/>
    <xf numFmtId="0" fontId="34" fillId="0" borderId="2" xfId="0" applyFont="1" applyBorder="1"/>
    <xf numFmtId="0" fontId="34" fillId="33" borderId="93" xfId="0" applyFont="1" applyFill="1" applyBorder="1" applyAlignment="1">
      <alignment horizontal="center"/>
    </xf>
    <xf numFmtId="2" fontId="34" fillId="33" borderId="94" xfId="0" applyNumberFormat="1" applyFont="1" applyFill="1" applyBorder="1" applyAlignment="1">
      <alignment horizontal="right" indent="2"/>
    </xf>
    <xf numFmtId="2" fontId="34" fillId="33" borderId="97" xfId="0" applyNumberFormat="1" applyFont="1" applyFill="1" applyBorder="1" applyAlignment="1">
      <alignment horizontal="right" indent="2"/>
    </xf>
    <xf numFmtId="0" fontId="34" fillId="0" borderId="30" xfId="0" applyFont="1" applyBorder="1"/>
    <xf numFmtId="43" fontId="7" fillId="34" borderId="30" xfId="42" applyFont="1" applyFill="1" applyBorder="1" applyAlignment="1">
      <alignment horizontal="center" vertical="center"/>
    </xf>
    <xf numFmtId="0" fontId="36" fillId="0" borderId="0" xfId="31" applyFont="1"/>
    <xf numFmtId="0" fontId="37" fillId="0" borderId="0" xfId="0" applyFont="1" applyAlignment="1">
      <alignment vertical="center"/>
    </xf>
    <xf numFmtId="0" fontId="3" fillId="38" borderId="0" xfId="0" applyFont="1" applyFill="1" applyAlignment="1">
      <alignment vertical="center"/>
    </xf>
    <xf numFmtId="0" fontId="9" fillId="32" borderId="30" xfId="0" applyFont="1" applyFill="1" applyBorder="1" applyAlignment="1">
      <alignment horizontal="center" vertical="center"/>
    </xf>
    <xf numFmtId="165" fontId="9" fillId="32" borderId="30" xfId="0" applyNumberFormat="1" applyFont="1" applyFill="1" applyBorder="1" applyAlignment="1">
      <alignment horizontal="center" vertical="center"/>
    </xf>
    <xf numFmtId="166" fontId="7" fillId="32" borderId="80" xfId="0" applyNumberFormat="1" applyFont="1" applyFill="1" applyBorder="1" applyAlignment="1">
      <alignment horizontal="right" vertical="center" indent="2"/>
    </xf>
    <xf numFmtId="166" fontId="7" fillId="32" borderId="81" xfId="0" applyNumberFormat="1" applyFont="1" applyFill="1" applyBorder="1" applyAlignment="1">
      <alignment horizontal="right" vertical="center" indent="2"/>
    </xf>
    <xf numFmtId="166" fontId="7" fillId="32" borderId="82" xfId="0" applyNumberFormat="1" applyFont="1" applyFill="1" applyBorder="1" applyAlignment="1">
      <alignment horizontal="right" vertical="center" indent="2"/>
    </xf>
    <xf numFmtId="0" fontId="1" fillId="33" borderId="80" xfId="0" applyNumberFormat="1" applyFont="1" applyFill="1" applyBorder="1" applyAlignment="1">
      <alignment horizontal="right" vertical="center" indent="2"/>
    </xf>
    <xf numFmtId="0" fontId="1" fillId="33" borderId="81" xfId="0" applyNumberFormat="1" applyFont="1" applyFill="1" applyBorder="1" applyAlignment="1">
      <alignment horizontal="right" vertical="center" indent="2"/>
    </xf>
    <xf numFmtId="0" fontId="1" fillId="33" borderId="82" xfId="0" applyNumberFormat="1" applyFont="1" applyFill="1" applyBorder="1" applyAlignment="1">
      <alignment horizontal="right" vertical="center" indent="2"/>
    </xf>
    <xf numFmtId="174" fontId="1" fillId="35" borderId="80" xfId="42" applyNumberFormat="1" applyFont="1" applyFill="1" applyBorder="1" applyAlignment="1">
      <alignment horizontal="center" vertical="center"/>
    </xf>
    <xf numFmtId="174" fontId="1" fillId="35" borderId="81" xfId="42" applyNumberFormat="1" applyFont="1" applyFill="1" applyBorder="1" applyAlignment="1">
      <alignment horizontal="center" vertical="center"/>
    </xf>
    <xf numFmtId="174" fontId="1" fillId="35" borderId="82" xfId="42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0" fontId="7" fillId="32" borderId="4" xfId="0" applyFont="1" applyFill="1" applyBorder="1" applyAlignment="1">
      <alignment horizontal="center" vertical="center"/>
    </xf>
    <xf numFmtId="0" fontId="7" fillId="32" borderId="31" xfId="0" applyFont="1" applyFill="1" applyBorder="1" applyAlignment="1">
      <alignment horizontal="center" vertical="center"/>
    </xf>
    <xf numFmtId="0" fontId="7" fillId="32" borderId="33" xfId="0" applyFont="1" applyFill="1" applyBorder="1" applyAlignment="1">
      <alignment horizontal="center" vertical="center"/>
    </xf>
    <xf numFmtId="1" fontId="1" fillId="0" borderId="30" xfId="0" applyNumberFormat="1" applyFont="1" applyBorder="1" applyAlignment="1">
      <alignment vertical="center"/>
    </xf>
    <xf numFmtId="164" fontId="1" fillId="0" borderId="30" xfId="0" applyNumberFormat="1" applyFont="1" applyBorder="1" applyAlignment="1">
      <alignment vertical="center"/>
    </xf>
    <xf numFmtId="0" fontId="7" fillId="32" borderId="44" xfId="0" applyFont="1" applyFill="1" applyBorder="1" applyAlignment="1">
      <alignment horizontal="center" vertical="center"/>
    </xf>
    <xf numFmtId="167" fontId="3" fillId="36" borderId="17" xfId="0" applyNumberFormat="1" applyFont="1" applyFill="1" applyBorder="1" applyAlignment="1">
      <alignment horizontal="right" vertical="center"/>
    </xf>
    <xf numFmtId="164" fontId="7" fillId="36" borderId="18" xfId="0" applyNumberFormat="1" applyFont="1" applyFill="1" applyBorder="1" applyAlignment="1">
      <alignment horizontal="center" vertical="center"/>
    </xf>
    <xf numFmtId="0" fontId="3" fillId="36" borderId="5" xfId="0" applyFont="1" applyFill="1" applyBorder="1" applyAlignment="1">
      <alignment horizontal="right" vertical="center"/>
    </xf>
    <xf numFmtId="164" fontId="7" fillId="36" borderId="3" xfId="0" applyNumberFormat="1" applyFont="1" applyFill="1" applyBorder="1" applyAlignment="1">
      <alignment horizontal="center" vertical="center"/>
    </xf>
    <xf numFmtId="0" fontId="3" fillId="36" borderId="18" xfId="0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164" fontId="7" fillId="36" borderId="0" xfId="0" applyNumberFormat="1" applyFont="1" applyFill="1" applyAlignment="1">
      <alignment horizontal="right" vertical="center"/>
    </xf>
    <xf numFmtId="169" fontId="7" fillId="36" borderId="0" xfId="30" applyNumberFormat="1" applyFont="1" applyFill="1" applyAlignment="1">
      <alignment horizontal="right" vertical="center"/>
    </xf>
    <xf numFmtId="175" fontId="1" fillId="0" borderId="0" xfId="0" applyNumberFormat="1" applyFont="1" applyAlignment="1">
      <alignment vertical="center"/>
    </xf>
    <xf numFmtId="0" fontId="7" fillId="38" borderId="0" xfId="0" applyFont="1" applyFill="1" applyAlignment="1">
      <alignment vertical="center"/>
    </xf>
    <xf numFmtId="0" fontId="4" fillId="38" borderId="0" xfId="0" applyFont="1" applyFill="1" applyAlignment="1">
      <alignment horizontal="left" vertical="center"/>
    </xf>
    <xf numFmtId="0" fontId="4" fillId="38" borderId="46" xfId="0" applyFont="1" applyFill="1" applyBorder="1" applyAlignment="1">
      <alignment vertical="center"/>
    </xf>
    <xf numFmtId="0" fontId="4" fillId="38" borderId="47" xfId="0" applyFont="1" applyFill="1" applyBorder="1" applyAlignment="1">
      <alignment vertical="center"/>
    </xf>
    <xf numFmtId="164" fontId="11" fillId="38" borderId="0" xfId="0" applyNumberFormat="1" applyFont="1" applyFill="1" applyBorder="1" applyAlignment="1">
      <alignment vertical="center"/>
    </xf>
    <xf numFmtId="0" fontId="11" fillId="38" borderId="0" xfId="0" applyFont="1" applyFill="1" applyBorder="1" applyAlignment="1">
      <alignment vertical="center"/>
    </xf>
    <xf numFmtId="0" fontId="4" fillId="38" borderId="48" xfId="0" applyFont="1" applyFill="1" applyBorder="1" applyAlignment="1">
      <alignment vertical="center"/>
    </xf>
    <xf numFmtId="172" fontId="11" fillId="38" borderId="0" xfId="0" applyNumberFormat="1" applyFont="1" applyFill="1" applyBorder="1" applyAlignment="1">
      <alignment horizontal="center" vertical="center"/>
    </xf>
    <xf numFmtId="0" fontId="4" fillId="38" borderId="49" xfId="0" applyFont="1" applyFill="1" applyBorder="1" applyAlignment="1">
      <alignment vertical="center"/>
    </xf>
    <xf numFmtId="0" fontId="4" fillId="38" borderId="50" xfId="0" applyFont="1" applyFill="1" applyBorder="1" applyAlignment="1">
      <alignment vertical="center"/>
    </xf>
    <xf numFmtId="0" fontId="13" fillId="38" borderId="0" xfId="0" applyFont="1" applyFill="1" applyAlignment="1">
      <alignment vertical="center"/>
    </xf>
    <xf numFmtId="0" fontId="5" fillId="38" borderId="0" xfId="0" applyFont="1" applyFill="1" applyAlignment="1">
      <alignment horizontal="left" vertical="center"/>
    </xf>
    <xf numFmtId="2" fontId="1" fillId="36" borderId="9" xfId="0" applyNumberFormat="1" applyFont="1" applyFill="1" applyBorder="1" applyAlignment="1">
      <alignment horizontal="center"/>
    </xf>
    <xf numFmtId="2" fontId="1" fillId="36" borderId="30" xfId="0" applyNumberFormat="1" applyFont="1" applyFill="1" applyBorder="1" applyAlignment="1">
      <alignment horizontal="center"/>
    </xf>
    <xf numFmtId="2" fontId="1" fillId="36" borderId="28" xfId="0" applyNumberFormat="1" applyFont="1" applyFill="1" applyBorder="1" applyAlignment="1">
      <alignment horizontal="center"/>
    </xf>
    <xf numFmtId="2" fontId="1" fillId="36" borderId="10" xfId="0" applyNumberFormat="1" applyFont="1" applyFill="1" applyBorder="1" applyAlignment="1">
      <alignment horizontal="center"/>
    </xf>
    <xf numFmtId="2" fontId="1" fillId="36" borderId="13" xfId="0" applyNumberFormat="1" applyFont="1" applyFill="1" applyBorder="1" applyAlignment="1">
      <alignment horizontal="center"/>
    </xf>
    <xf numFmtId="2" fontId="1" fillId="36" borderId="14" xfId="0" applyNumberFormat="1" applyFont="1" applyFill="1" applyBorder="1" applyAlignment="1">
      <alignment horizontal="center"/>
    </xf>
    <xf numFmtId="0" fontId="38" fillId="38" borderId="0" xfId="0" applyFont="1" applyFill="1" applyAlignment="1">
      <alignment vertical="center"/>
    </xf>
    <xf numFmtId="0" fontId="0" fillId="38" borderId="0" xfId="0" applyFill="1" applyAlignment="1">
      <alignment vertical="center"/>
    </xf>
    <xf numFmtId="176" fontId="0" fillId="38" borderId="0" xfId="0" applyNumberFormat="1" applyFill="1" applyAlignment="1">
      <alignment horizontal="left" vertical="center"/>
    </xf>
    <xf numFmtId="176" fontId="0" fillId="38" borderId="0" xfId="0" applyNumberFormat="1" applyFill="1" applyAlignment="1">
      <alignment vertical="center"/>
    </xf>
    <xf numFmtId="177" fontId="0" fillId="38" borderId="0" xfId="0" applyNumberFormat="1" applyFill="1" applyAlignment="1">
      <alignment vertical="center"/>
    </xf>
    <xf numFmtId="0" fontId="32" fillId="39" borderId="59" xfId="0" applyFont="1" applyFill="1" applyBorder="1" applyAlignment="1">
      <alignment horizontal="center" vertical="center" wrapText="1"/>
    </xf>
    <xf numFmtId="0" fontId="32" fillId="39" borderId="30" xfId="0" applyFont="1" applyFill="1" applyBorder="1" applyAlignment="1">
      <alignment horizontal="center" vertical="center"/>
    </xf>
    <xf numFmtId="0" fontId="32" fillId="39" borderId="63" xfId="0" applyFont="1" applyFill="1" applyBorder="1" applyAlignment="1">
      <alignment horizontal="center" vertical="center" wrapText="1"/>
    </xf>
    <xf numFmtId="0" fontId="32" fillId="40" borderId="59" xfId="0" applyFont="1" applyFill="1" applyBorder="1" applyAlignment="1">
      <alignment horizontal="center" vertical="center"/>
    </xf>
    <xf numFmtId="0" fontId="32" fillId="40" borderId="30" xfId="0" applyFont="1" applyFill="1" applyBorder="1" applyAlignment="1">
      <alignment horizontal="center" vertical="center"/>
    </xf>
    <xf numFmtId="0" fontId="0" fillId="38" borderId="90" xfId="0" applyFill="1" applyBorder="1" applyAlignment="1">
      <alignment vertical="center" wrapText="1"/>
    </xf>
    <xf numFmtId="0" fontId="0" fillId="38" borderId="91" xfId="0" applyFill="1" applyBorder="1" applyAlignment="1">
      <alignment vertical="center"/>
    </xf>
    <xf numFmtId="43" fontId="0" fillId="38" borderId="90" xfId="42" applyFont="1" applyFill="1" applyBorder="1" applyAlignment="1">
      <alignment vertical="center"/>
    </xf>
    <xf numFmtId="43" fontId="0" fillId="38" borderId="91" xfId="42" applyFont="1" applyFill="1" applyBorder="1" applyAlignment="1">
      <alignment vertical="center"/>
    </xf>
    <xf numFmtId="173" fontId="0" fillId="38" borderId="83" xfId="42" applyNumberFormat="1" applyFont="1" applyFill="1" applyBorder="1" applyAlignment="1">
      <alignment vertical="center"/>
    </xf>
    <xf numFmtId="43" fontId="0" fillId="38" borderId="81" xfId="42" applyFont="1" applyFill="1" applyBorder="1" applyAlignment="1">
      <alignment vertical="center"/>
    </xf>
    <xf numFmtId="43" fontId="32" fillId="38" borderId="30" xfId="42" applyFont="1" applyFill="1" applyBorder="1" applyAlignment="1">
      <alignment vertical="center"/>
    </xf>
    <xf numFmtId="0" fontId="32" fillId="38" borderId="0" xfId="0" applyFont="1" applyFill="1" applyAlignment="1">
      <alignment horizontal="right" vertical="center"/>
    </xf>
    <xf numFmtId="0" fontId="0" fillId="38" borderId="0" xfId="0" applyFill="1" applyAlignment="1">
      <alignment horizontal="right" vertical="center"/>
    </xf>
    <xf numFmtId="0" fontId="39" fillId="38" borderId="0" xfId="0" applyFont="1" applyFill="1" applyAlignment="1">
      <alignment vertical="center"/>
    </xf>
    <xf numFmtId="2" fontId="39" fillId="38" borderId="51" xfId="0" applyNumberFormat="1" applyFont="1" applyFill="1" applyBorder="1" applyAlignment="1">
      <alignment vertical="center"/>
    </xf>
    <xf numFmtId="2" fontId="39" fillId="38" borderId="36" xfId="0" applyNumberFormat="1" applyFont="1" applyFill="1" applyBorder="1" applyAlignment="1">
      <alignment vertical="center"/>
    </xf>
    <xf numFmtId="0" fontId="40" fillId="38" borderId="30" xfId="0" applyFont="1" applyFill="1" applyBorder="1" applyAlignment="1">
      <alignment horizontal="center" vertical="center" wrapText="1"/>
    </xf>
    <xf numFmtId="0" fontId="39" fillId="38" borderId="99" xfId="0" applyFont="1" applyFill="1" applyBorder="1" applyAlignment="1">
      <alignment horizontal="left" vertical="center" indent="1"/>
    </xf>
    <xf numFmtId="0" fontId="39" fillId="38" borderId="63" xfId="0" applyFont="1" applyFill="1" applyBorder="1" applyAlignment="1">
      <alignment vertical="center"/>
    </xf>
    <xf numFmtId="0" fontId="39" fillId="38" borderId="38" xfId="0" applyFont="1" applyFill="1" applyBorder="1" applyAlignment="1">
      <alignment vertical="center"/>
    </xf>
    <xf numFmtId="0" fontId="40" fillId="38" borderId="59" xfId="0" applyFont="1" applyFill="1" applyBorder="1" applyAlignment="1">
      <alignment vertical="center"/>
    </xf>
    <xf numFmtId="2" fontId="39" fillId="38" borderId="30" xfId="0" applyNumberFormat="1" applyFont="1" applyFill="1" applyBorder="1" applyAlignment="1">
      <alignment vertical="center"/>
    </xf>
    <xf numFmtId="2" fontId="39" fillId="38" borderId="38" xfId="0" applyNumberFormat="1" applyFont="1" applyFill="1" applyBorder="1" applyAlignment="1">
      <alignment vertical="center"/>
    </xf>
    <xf numFmtId="2" fontId="39" fillId="38" borderId="0" xfId="0" applyNumberFormat="1" applyFont="1" applyFill="1" applyAlignment="1">
      <alignment vertical="center"/>
    </xf>
    <xf numFmtId="0" fontId="40" fillId="38" borderId="59" xfId="0" applyFont="1" applyFill="1" applyBorder="1" applyAlignment="1">
      <alignment horizontal="left" vertical="center"/>
    </xf>
    <xf numFmtId="2" fontId="40" fillId="38" borderId="63" xfId="0" applyNumberFormat="1" applyFont="1" applyFill="1" applyBorder="1" applyAlignment="1">
      <alignment vertical="center"/>
    </xf>
    <xf numFmtId="2" fontId="40" fillId="38" borderId="38" xfId="0" applyNumberFormat="1" applyFont="1" applyFill="1" applyBorder="1" applyAlignment="1">
      <alignment vertical="center"/>
    </xf>
    <xf numFmtId="0" fontId="39" fillId="38" borderId="65" xfId="0" applyFont="1" applyFill="1" applyBorder="1" applyAlignment="1">
      <alignment horizontal="left" vertical="center" indent="1"/>
    </xf>
    <xf numFmtId="0" fontId="42" fillId="38" borderId="0" xfId="0" applyFont="1" applyFill="1" applyBorder="1" applyAlignment="1">
      <alignment horizontal="center" vertical="center" wrapText="1"/>
    </xf>
    <xf numFmtId="0" fontId="42" fillId="38" borderId="0" xfId="0" applyFont="1" applyFill="1" applyBorder="1" applyAlignment="1">
      <alignment horizontal="center" vertical="center"/>
    </xf>
    <xf numFmtId="0" fontId="43" fillId="38" borderId="0" xfId="0" applyFont="1" applyFill="1" applyBorder="1" applyAlignment="1">
      <alignment horizontal="left" vertical="center"/>
    </xf>
    <xf numFmtId="2" fontId="43" fillId="38" borderId="0" xfId="0" applyNumberFormat="1" applyFont="1" applyFill="1" applyBorder="1" applyAlignment="1">
      <alignment vertical="center"/>
    </xf>
    <xf numFmtId="0" fontId="42" fillId="38" borderId="0" xfId="0" applyFont="1" applyFill="1" applyBorder="1" applyAlignment="1">
      <alignment vertical="center"/>
    </xf>
    <xf numFmtId="0" fontId="44" fillId="38" borderId="0" xfId="0" applyFont="1" applyFill="1" applyAlignment="1">
      <alignment vertical="center"/>
    </xf>
    <xf numFmtId="0" fontId="45" fillId="38" borderId="0" xfId="0" applyFont="1" applyFill="1" applyAlignment="1">
      <alignment vertical="center"/>
    </xf>
    <xf numFmtId="0" fontId="43" fillId="38" borderId="0" xfId="0" applyFont="1" applyFill="1" applyAlignment="1">
      <alignment vertical="center"/>
    </xf>
    <xf numFmtId="0" fontId="42" fillId="38" borderId="0" xfId="0" applyFont="1" applyFill="1" applyAlignment="1">
      <alignment vertical="center"/>
    </xf>
    <xf numFmtId="167" fontId="0" fillId="38" borderId="0" xfId="0" applyNumberFormat="1" applyFill="1"/>
    <xf numFmtId="174" fontId="32" fillId="38" borderId="59" xfId="42" applyNumberFormat="1" applyFont="1" applyFill="1" applyBorder="1" applyAlignment="1">
      <alignment vertical="center"/>
    </xf>
    <xf numFmtId="174" fontId="1" fillId="38" borderId="80" xfId="42" applyNumberFormat="1" applyFont="1" applyFill="1" applyBorder="1" applyAlignment="1">
      <alignment horizontal="center" vertical="center"/>
    </xf>
    <xf numFmtId="174" fontId="1" fillId="38" borderId="81" xfId="42" applyNumberFormat="1" applyFont="1" applyFill="1" applyBorder="1" applyAlignment="1">
      <alignment horizontal="center" vertical="center"/>
    </xf>
    <xf numFmtId="174" fontId="1" fillId="38" borderId="82" xfId="42" applyNumberFormat="1" applyFont="1" applyFill="1" applyBorder="1" applyAlignment="1">
      <alignment horizontal="center" vertical="center"/>
    </xf>
    <xf numFmtId="174" fontId="1" fillId="38" borderId="91" xfId="42" applyNumberFormat="1" applyFont="1" applyFill="1" applyBorder="1" applyAlignment="1">
      <alignment horizontal="center" vertical="center"/>
    </xf>
    <xf numFmtId="174" fontId="1" fillId="38" borderId="85" xfId="42" applyNumberFormat="1" applyFont="1" applyFill="1" applyBorder="1" applyAlignment="1">
      <alignment horizontal="center" vertical="center"/>
    </xf>
    <xf numFmtId="174" fontId="1" fillId="38" borderId="86" xfId="42" applyNumberFormat="1" applyFont="1" applyFill="1" applyBorder="1" applyAlignment="1">
      <alignment horizontal="center" vertical="center"/>
    </xf>
    <xf numFmtId="174" fontId="1" fillId="38" borderId="98" xfId="42" applyNumberFormat="1" applyFont="1" applyFill="1" applyBorder="1" applyAlignment="1">
      <alignment horizontal="center" vertical="center"/>
    </xf>
    <xf numFmtId="174" fontId="1" fillId="38" borderId="87" xfId="42" applyNumberFormat="1" applyFont="1" applyFill="1" applyBorder="1" applyAlignment="1">
      <alignment horizontal="center" vertical="center"/>
    </xf>
    <xf numFmtId="174" fontId="1" fillId="38" borderId="88" xfId="42" applyNumberFormat="1" applyFont="1" applyFill="1" applyBorder="1" applyAlignment="1">
      <alignment horizontal="center" vertical="center"/>
    </xf>
    <xf numFmtId="2" fontId="1" fillId="38" borderId="8" xfId="0" applyNumberFormat="1" applyFont="1" applyFill="1" applyBorder="1" applyAlignment="1">
      <alignment horizontal="center"/>
    </xf>
    <xf numFmtId="2" fontId="1" fillId="38" borderId="29" xfId="0" applyNumberFormat="1" applyFont="1" applyFill="1" applyBorder="1" applyAlignment="1">
      <alignment horizontal="center"/>
    </xf>
    <xf numFmtId="2" fontId="1" fillId="38" borderId="27" xfId="0" applyNumberFormat="1" applyFont="1" applyFill="1" applyBorder="1" applyAlignment="1">
      <alignment horizontal="center"/>
    </xf>
    <xf numFmtId="2" fontId="1" fillId="38" borderId="9" xfId="0" applyNumberFormat="1" applyFont="1" applyFill="1" applyBorder="1" applyAlignment="1">
      <alignment horizontal="center"/>
    </xf>
    <xf numFmtId="2" fontId="1" fillId="38" borderId="30" xfId="0" applyNumberFormat="1" applyFont="1" applyFill="1" applyBorder="1" applyAlignment="1">
      <alignment horizontal="center"/>
    </xf>
    <xf numFmtId="2" fontId="1" fillId="38" borderId="28" xfId="0" applyNumberFormat="1" applyFont="1" applyFill="1" applyBorder="1" applyAlignment="1">
      <alignment horizontal="center"/>
    </xf>
    <xf numFmtId="2" fontId="1" fillId="35" borderId="28" xfId="0" applyNumberFormat="1" applyFont="1" applyFill="1" applyBorder="1" applyAlignment="1">
      <alignment horizontal="center"/>
    </xf>
    <xf numFmtId="0" fontId="33" fillId="0" borderId="19" xfId="0" applyFont="1" applyBorder="1" applyAlignment="1">
      <alignment horizontal="center" wrapText="1"/>
    </xf>
    <xf numFmtId="0" fontId="33" fillId="0" borderId="20" xfId="0" applyFont="1" applyBorder="1" applyAlignment="1">
      <alignment horizontal="center" wrapText="1"/>
    </xf>
    <xf numFmtId="0" fontId="33" fillId="0" borderId="1" xfId="0" applyFont="1" applyBorder="1" applyAlignment="1">
      <alignment horizontal="center" wrapText="1"/>
    </xf>
    <xf numFmtId="0" fontId="33" fillId="0" borderId="17" xfId="0" applyFont="1" applyBorder="1" applyAlignment="1">
      <alignment horizontal="center" wrapText="1"/>
    </xf>
    <xf numFmtId="0" fontId="33" fillId="0" borderId="18" xfId="0" applyFont="1" applyBorder="1" applyAlignment="1">
      <alignment horizontal="center" wrapText="1"/>
    </xf>
    <xf numFmtId="0" fontId="33" fillId="0" borderId="2" xfId="0" applyFont="1" applyBorder="1" applyAlignment="1">
      <alignment horizontal="center" wrapText="1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 vertical="center"/>
    </xf>
    <xf numFmtId="0" fontId="33" fillId="0" borderId="18" xfId="0" applyFont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7" fillId="32" borderId="59" xfId="0" applyFont="1" applyFill="1" applyBorder="1" applyAlignment="1">
      <alignment horizontal="center" vertical="center"/>
    </xf>
    <xf numFmtId="0" fontId="7" fillId="32" borderId="30" xfId="0" applyFont="1" applyFill="1" applyBorder="1" applyAlignment="1">
      <alignment horizontal="center" vertical="center"/>
    </xf>
    <xf numFmtId="0" fontId="7" fillId="32" borderId="60" xfId="0" applyFont="1" applyFill="1" applyBorder="1" applyAlignment="1">
      <alignment horizontal="center" vertical="center" wrapText="1"/>
    </xf>
    <xf numFmtId="0" fontId="7" fillId="32" borderId="66" xfId="0" applyFont="1" applyFill="1" applyBorder="1" applyAlignment="1">
      <alignment horizontal="center" vertical="center" wrapText="1"/>
    </xf>
    <xf numFmtId="0" fontId="7" fillId="32" borderId="40" xfId="0" applyFont="1" applyFill="1" applyBorder="1" applyAlignment="1">
      <alignment horizontal="center" vertical="center" wrapText="1"/>
    </xf>
    <xf numFmtId="0" fontId="7" fillId="32" borderId="62" xfId="0" applyFont="1" applyFill="1" applyBorder="1" applyAlignment="1">
      <alignment horizontal="center" vertical="center" wrapText="1"/>
    </xf>
    <xf numFmtId="0" fontId="7" fillId="32" borderId="26" xfId="0" applyFont="1" applyFill="1" applyBorder="1" applyAlignment="1">
      <alignment horizontal="center" vertical="center" wrapText="1"/>
    </xf>
    <xf numFmtId="0" fontId="9" fillId="32" borderId="30" xfId="0" applyFont="1" applyFill="1" applyBorder="1" applyAlignment="1">
      <alignment horizontal="center" vertical="center"/>
    </xf>
    <xf numFmtId="0" fontId="9" fillId="32" borderId="30" xfId="0" applyFont="1" applyFill="1" applyBorder="1" applyAlignment="1">
      <alignment horizontal="center" vertical="center" wrapText="1"/>
    </xf>
    <xf numFmtId="0" fontId="4" fillId="38" borderId="30" xfId="0" applyFont="1" applyFill="1" applyBorder="1" applyAlignment="1">
      <alignment horizontal="center" vertical="center"/>
    </xf>
    <xf numFmtId="0" fontId="4" fillId="38" borderId="59" xfId="0" applyFont="1" applyFill="1" applyBorder="1" applyAlignment="1">
      <alignment horizontal="center" vertical="center"/>
    </xf>
    <xf numFmtId="0" fontId="4" fillId="38" borderId="38" xfId="0" applyFont="1" applyFill="1" applyBorder="1" applyAlignment="1">
      <alignment horizontal="center" vertical="center"/>
    </xf>
    <xf numFmtId="0" fontId="14" fillId="32" borderId="52" xfId="0" applyFont="1" applyFill="1" applyBorder="1" applyAlignment="1">
      <alignment horizontal="center" vertical="center"/>
    </xf>
    <xf numFmtId="0" fontId="14" fillId="32" borderId="53" xfId="0" applyFont="1" applyFill="1" applyBorder="1" applyAlignment="1">
      <alignment horizontal="center" vertical="center"/>
    </xf>
    <xf numFmtId="0" fontId="14" fillId="32" borderId="54" xfId="0" applyFont="1" applyFill="1" applyBorder="1" applyAlignment="1">
      <alignment horizontal="center" vertical="center"/>
    </xf>
    <xf numFmtId="0" fontId="7" fillId="38" borderId="0" xfId="0" applyFont="1" applyFill="1" applyAlignment="1">
      <alignment horizontal="center" vertical="center"/>
    </xf>
    <xf numFmtId="0" fontId="3" fillId="32" borderId="52" xfId="0" applyFont="1" applyFill="1" applyBorder="1" applyAlignment="1">
      <alignment horizontal="center" vertical="center"/>
    </xf>
    <xf numFmtId="0" fontId="3" fillId="32" borderId="53" xfId="0" applyFont="1" applyFill="1" applyBorder="1" applyAlignment="1">
      <alignment horizontal="center" vertical="center"/>
    </xf>
    <xf numFmtId="0" fontId="3" fillId="32" borderId="54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" fontId="7" fillId="32" borderId="36" xfId="0" applyNumberFormat="1" applyFont="1" applyFill="1" applyBorder="1" applyAlignment="1">
      <alignment horizontal="center" vertical="center"/>
    </xf>
    <xf numFmtId="168" fontId="1" fillId="34" borderId="3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7" fillId="32" borderId="65" xfId="0" applyFont="1" applyFill="1" applyBorder="1" applyAlignment="1">
      <alignment horizontal="center" vertical="center"/>
    </xf>
    <xf numFmtId="0" fontId="7" fillId="32" borderId="22" xfId="0" applyFont="1" applyFill="1" applyBorder="1" applyAlignment="1">
      <alignment horizontal="center" vertical="center"/>
    </xf>
    <xf numFmtId="0" fontId="7" fillId="32" borderId="66" xfId="0" applyFont="1" applyFill="1" applyBorder="1" applyAlignment="1">
      <alignment horizontal="center" vertical="center"/>
    </xf>
    <xf numFmtId="168" fontId="1" fillId="34" borderId="36" xfId="0" applyNumberFormat="1" applyFont="1" applyFill="1" applyBorder="1" applyAlignment="1">
      <alignment horizontal="center" vertical="center"/>
    </xf>
    <xf numFmtId="0" fontId="3" fillId="32" borderId="59" xfId="0" applyFont="1" applyFill="1" applyBorder="1" applyAlignment="1">
      <alignment horizontal="center" vertical="center"/>
    </xf>
    <xf numFmtId="0" fontId="3" fillId="32" borderId="63" xfId="0" applyFont="1" applyFill="1" applyBorder="1" applyAlignment="1">
      <alignment horizontal="center" vertical="center"/>
    </xf>
    <xf numFmtId="0" fontId="3" fillId="32" borderId="38" xfId="0" applyFont="1" applyFill="1" applyBorder="1" applyAlignment="1">
      <alignment horizontal="center" vertical="center"/>
    </xf>
    <xf numFmtId="0" fontId="7" fillId="32" borderId="64" xfId="0" applyFont="1" applyFill="1" applyBorder="1" applyAlignment="1">
      <alignment horizontal="center" vertical="center"/>
    </xf>
    <xf numFmtId="0" fontId="7" fillId="32" borderId="24" xfId="0" applyFont="1" applyFill="1" applyBorder="1" applyAlignment="1">
      <alignment horizontal="center" vertical="center"/>
    </xf>
    <xf numFmtId="0" fontId="7" fillId="32" borderId="60" xfId="0" applyFont="1" applyFill="1" applyBorder="1" applyAlignment="1">
      <alignment horizontal="center" vertical="center"/>
    </xf>
    <xf numFmtId="0" fontId="16" fillId="32" borderId="52" xfId="0" applyFont="1" applyFill="1" applyBorder="1" applyAlignment="1">
      <alignment horizontal="center" vertical="center"/>
    </xf>
    <xf numFmtId="0" fontId="16" fillId="32" borderId="53" xfId="0" applyFont="1" applyFill="1" applyBorder="1" applyAlignment="1">
      <alignment horizontal="center" vertical="center"/>
    </xf>
    <xf numFmtId="0" fontId="16" fillId="32" borderId="54" xfId="0" applyFont="1" applyFill="1" applyBorder="1" applyAlignment="1">
      <alignment horizontal="center" vertical="center"/>
    </xf>
    <xf numFmtId="0" fontId="9" fillId="32" borderId="40" xfId="0" applyFont="1" applyFill="1" applyBorder="1" applyAlignment="1">
      <alignment horizontal="center"/>
    </xf>
    <xf numFmtId="0" fontId="9" fillId="32" borderId="62" xfId="0" applyFont="1" applyFill="1" applyBorder="1" applyAlignment="1">
      <alignment horizontal="center"/>
    </xf>
    <xf numFmtId="0" fontId="9" fillId="32" borderId="26" xfId="0" applyFont="1" applyFill="1" applyBorder="1" applyAlignment="1">
      <alignment horizontal="center"/>
    </xf>
    <xf numFmtId="169" fontId="11" fillId="38" borderId="47" xfId="0" applyNumberFormat="1" applyFont="1" applyFill="1" applyBorder="1" applyAlignment="1">
      <alignment horizontal="center" vertical="center"/>
    </xf>
    <xf numFmtId="169" fontId="11" fillId="38" borderId="67" xfId="0" applyNumberFormat="1" applyFont="1" applyFill="1" applyBorder="1" applyAlignment="1">
      <alignment horizontal="center" vertical="center"/>
    </xf>
    <xf numFmtId="0" fontId="12" fillId="38" borderId="68" xfId="0" applyFont="1" applyFill="1" applyBorder="1" applyAlignment="1">
      <alignment horizontal="right" vertical="center"/>
    </xf>
    <xf numFmtId="0" fontId="11" fillId="38" borderId="69" xfId="0" applyFont="1" applyFill="1" applyBorder="1" applyAlignment="1">
      <alignment horizontal="center" vertical="center"/>
    </xf>
    <xf numFmtId="0" fontId="33" fillId="38" borderId="0" xfId="0" applyFont="1" applyFill="1" applyAlignment="1">
      <alignment horizontal="center" vertical="center"/>
    </xf>
    <xf numFmtId="0" fontId="41" fillId="38" borderId="0" xfId="0" applyFont="1" applyFill="1" applyBorder="1" applyAlignment="1">
      <alignment horizontal="center" vertical="center"/>
    </xf>
    <xf numFmtId="0" fontId="40" fillId="38" borderId="30" xfId="0" applyFont="1" applyFill="1" applyBorder="1" applyAlignment="1">
      <alignment horizontal="center" vertical="center" wrapText="1"/>
    </xf>
    <xf numFmtId="0" fontId="0" fillId="38" borderId="61" xfId="0" applyFill="1" applyBorder="1" applyAlignment="1">
      <alignment horizontal="center" vertical="center"/>
    </xf>
    <xf numFmtId="0" fontId="0" fillId="38" borderId="51" xfId="0" applyFill="1" applyBorder="1" applyAlignment="1">
      <alignment horizontal="center" vertical="center"/>
    </xf>
    <xf numFmtId="0" fontId="32" fillId="38" borderId="59" xfId="0" applyFont="1" applyFill="1" applyBorder="1" applyAlignment="1">
      <alignment horizontal="right" vertical="center"/>
    </xf>
    <xf numFmtId="0" fontId="32" fillId="38" borderId="63" xfId="0" applyFont="1" applyFill="1" applyBorder="1" applyAlignment="1">
      <alignment horizontal="right" vertical="center"/>
    </xf>
    <xf numFmtId="0" fontId="32" fillId="38" borderId="38" xfId="0" applyFont="1" applyFill="1" applyBorder="1" applyAlignment="1">
      <alignment horizontal="right" vertical="center"/>
    </xf>
    <xf numFmtId="0" fontId="47" fillId="38" borderId="0" xfId="0" applyFont="1" applyFill="1" applyAlignment="1">
      <alignment horizontal="center"/>
    </xf>
    <xf numFmtId="0" fontId="48" fillId="38" borderId="0" xfId="0" applyFont="1" applyFill="1"/>
    <xf numFmtId="0" fontId="47" fillId="38" borderId="0" xfId="0" applyFont="1" applyFill="1" applyAlignment="1">
      <alignment horizontal="center"/>
    </xf>
    <xf numFmtId="0" fontId="47" fillId="37" borderId="30" xfId="0" applyFont="1" applyFill="1" applyBorder="1" applyAlignment="1">
      <alignment horizontal="center" vertical="center"/>
    </xf>
    <xf numFmtId="0" fontId="47" fillId="37" borderId="30" xfId="0" applyFont="1" applyFill="1" applyBorder="1" applyAlignment="1">
      <alignment horizontal="center"/>
    </xf>
    <xf numFmtId="0" fontId="47" fillId="37" borderId="30" xfId="0" applyFont="1" applyFill="1" applyBorder="1" applyAlignment="1">
      <alignment horizontal="center" vertical="center" wrapText="1"/>
    </xf>
    <xf numFmtId="0" fontId="47" fillId="37" borderId="30" xfId="0" applyFont="1" applyFill="1" applyBorder="1" applyAlignment="1">
      <alignment horizontal="center" vertical="center"/>
    </xf>
    <xf numFmtId="0" fontId="48" fillId="38" borderId="80" xfId="0" applyFont="1" applyFill="1" applyBorder="1" applyAlignment="1">
      <alignment horizontal="center" vertical="center"/>
    </xf>
    <xf numFmtId="0" fontId="48" fillId="38" borderId="80" xfId="0" applyNumberFormat="1" applyFont="1" applyFill="1" applyBorder="1"/>
    <xf numFmtId="0" fontId="48" fillId="38" borderId="0" xfId="0" applyNumberFormat="1" applyFont="1" applyFill="1" applyBorder="1"/>
    <xf numFmtId="0" fontId="48" fillId="38" borderId="61" xfId="0" applyNumberFormat="1" applyFont="1" applyFill="1" applyBorder="1"/>
    <xf numFmtId="2" fontId="48" fillId="38" borderId="61" xfId="0" applyNumberFormat="1" applyFont="1" applyFill="1" applyBorder="1" applyAlignment="1">
      <alignment horizontal="right" vertical="center" indent="1"/>
    </xf>
    <xf numFmtId="0" fontId="48" fillId="38" borderId="81" xfId="0" applyFont="1" applyFill="1" applyBorder="1" applyAlignment="1">
      <alignment horizontal="center" vertical="center"/>
    </xf>
    <xf numFmtId="0" fontId="48" fillId="38" borderId="89" xfId="0" applyNumberFormat="1" applyFont="1" applyFill="1" applyBorder="1"/>
    <xf numFmtId="0" fontId="48" fillId="38" borderId="90" xfId="0" applyNumberFormat="1" applyFont="1" applyFill="1" applyBorder="1"/>
    <xf numFmtId="0" fontId="48" fillId="38" borderId="91" xfId="0" applyNumberFormat="1" applyFont="1" applyFill="1" applyBorder="1"/>
    <xf numFmtId="0" fontId="48" fillId="38" borderId="81" xfId="0" applyNumberFormat="1" applyFont="1" applyFill="1" applyBorder="1"/>
    <xf numFmtId="2" fontId="48" fillId="38" borderId="81" xfId="0" applyNumberFormat="1" applyFont="1" applyFill="1" applyBorder="1" applyAlignment="1">
      <alignment horizontal="right" vertical="center" indent="1"/>
    </xf>
    <xf numFmtId="0" fontId="48" fillId="38" borderId="83" xfId="0" applyNumberFormat="1" applyFont="1" applyFill="1" applyBorder="1"/>
    <xf numFmtId="0" fontId="48" fillId="38" borderId="85" xfId="0" applyNumberFormat="1" applyFont="1" applyFill="1" applyBorder="1"/>
    <xf numFmtId="2" fontId="48" fillId="38" borderId="87" xfId="0" applyNumberFormat="1" applyFont="1" applyFill="1" applyBorder="1" applyAlignment="1">
      <alignment horizontal="right" vertical="center" indent="1"/>
    </xf>
    <xf numFmtId="0" fontId="48" fillId="38" borderId="82" xfId="0" applyFont="1" applyFill="1" applyBorder="1" applyAlignment="1">
      <alignment horizontal="center" vertical="center"/>
    </xf>
    <xf numFmtId="0" fontId="48" fillId="38" borderId="84" xfId="0" applyNumberFormat="1" applyFont="1" applyFill="1" applyBorder="1"/>
    <xf numFmtId="0" fontId="48" fillId="38" borderId="82" xfId="0" applyNumberFormat="1" applyFont="1" applyFill="1" applyBorder="1"/>
    <xf numFmtId="0" fontId="48" fillId="38" borderId="86" xfId="0" applyNumberFormat="1" applyFont="1" applyFill="1" applyBorder="1"/>
    <xf numFmtId="2" fontId="48" fillId="38" borderId="88" xfId="0" applyNumberFormat="1" applyFont="1" applyFill="1" applyBorder="1" applyAlignment="1">
      <alignment horizontal="right" vertical="center" indent="1"/>
    </xf>
    <xf numFmtId="0" fontId="47" fillId="38" borderId="36" xfId="0" applyFont="1" applyFill="1" applyBorder="1" applyAlignment="1">
      <alignment horizontal="center" vertical="center"/>
    </xf>
    <xf numFmtId="2" fontId="47" fillId="38" borderId="36" xfId="0" applyNumberFormat="1" applyFont="1" applyFill="1" applyBorder="1" applyAlignment="1">
      <alignment horizontal="center" vertical="center"/>
    </xf>
    <xf numFmtId="0" fontId="7" fillId="32" borderId="100" xfId="0" applyFont="1" applyFill="1" applyBorder="1" applyAlignment="1">
      <alignment horizontal="center" vertical="center" wrapText="1"/>
    </xf>
    <xf numFmtId="0" fontId="7" fillId="32" borderId="39" xfId="0" applyFont="1" applyFill="1" applyBorder="1" applyAlignment="1">
      <alignment horizontal="center" vertical="center" wrapText="1"/>
    </xf>
    <xf numFmtId="2" fontId="1" fillId="33" borderId="5" xfId="0" applyNumberFormat="1" applyFont="1" applyFill="1" applyBorder="1" applyAlignment="1">
      <alignment horizontal="center" vertical="center" wrapText="1"/>
    </xf>
    <xf numFmtId="2" fontId="1" fillId="33" borderId="3" xfId="0" applyNumberFormat="1" applyFont="1" applyFill="1" applyBorder="1" applyAlignment="1">
      <alignment horizontal="center" vertical="center" wrapText="1"/>
    </xf>
    <xf numFmtId="165" fontId="7" fillId="32" borderId="14" xfId="0" applyNumberFormat="1" applyFont="1" applyFill="1" applyBorder="1" applyAlignment="1">
      <alignment horizontal="center" vertical="center"/>
    </xf>
    <xf numFmtId="174" fontId="1" fillId="35" borderId="28" xfId="42" applyNumberFormat="1" applyFont="1" applyFill="1" applyBorder="1" applyAlignment="1">
      <alignment horizontal="center" vertical="center"/>
    </xf>
    <xf numFmtId="174" fontId="1" fillId="35" borderId="14" xfId="42" applyNumberFormat="1" applyFont="1" applyFill="1" applyBorder="1" applyAlignment="1">
      <alignment horizontal="center" vertical="center"/>
    </xf>
    <xf numFmtId="0" fontId="7" fillId="32" borderId="101" xfId="0" applyFont="1" applyFill="1" applyBorder="1" applyAlignment="1">
      <alignment horizontal="center" vertical="center" wrapText="1"/>
    </xf>
    <xf numFmtId="2" fontId="1" fillId="33" borderId="54" xfId="0" applyNumberFormat="1" applyFont="1" applyFill="1" applyBorder="1" applyAlignment="1">
      <alignment horizontal="center" vertical="center" wrapText="1"/>
    </xf>
    <xf numFmtId="0" fontId="1" fillId="33" borderId="41" xfId="0" applyNumberFormat="1" applyFont="1" applyFill="1" applyBorder="1" applyAlignment="1">
      <alignment horizontal="center" vertical="center"/>
    </xf>
    <xf numFmtId="0" fontId="1" fillId="33" borderId="102" xfId="0" applyNumberFormat="1" applyFont="1" applyFill="1" applyBorder="1" applyAlignment="1">
      <alignment horizontal="center" vertical="center"/>
    </xf>
    <xf numFmtId="0" fontId="1" fillId="33" borderId="42" xfId="0" applyNumberFormat="1" applyFont="1" applyFill="1" applyBorder="1" applyAlignment="1">
      <alignment horizontal="center" vertical="center"/>
    </xf>
    <xf numFmtId="0" fontId="1" fillId="33" borderId="101" xfId="0" applyNumberFormat="1" applyFont="1" applyFill="1" applyBorder="1" applyAlignment="1">
      <alignment horizontal="center" vertical="center"/>
    </xf>
    <xf numFmtId="0" fontId="7" fillId="32" borderId="42" xfId="0" applyFont="1" applyFill="1" applyBorder="1" applyAlignment="1">
      <alignment horizontal="center" vertical="center" wrapText="1"/>
    </xf>
    <xf numFmtId="2" fontId="1" fillId="33" borderId="52" xfId="0" applyNumberFormat="1" applyFont="1" applyFill="1" applyBorder="1" applyAlignment="1">
      <alignment horizontal="center" vertical="center" wrapText="1"/>
    </xf>
    <xf numFmtId="165" fontId="7" fillId="32" borderId="13" xfId="0" applyNumberFormat="1" applyFont="1" applyFill="1" applyBorder="1" applyAlignment="1">
      <alignment horizontal="center" vertical="center"/>
    </xf>
    <xf numFmtId="174" fontId="1" fillId="35" borderId="30" xfId="42" applyNumberFormat="1" applyFont="1" applyFill="1" applyBorder="1" applyAlignment="1">
      <alignment horizontal="center" vertical="center"/>
    </xf>
    <xf numFmtId="174" fontId="1" fillId="35" borderId="38" xfId="42" applyNumberFormat="1" applyFont="1" applyFill="1" applyBorder="1" applyAlignment="1">
      <alignment horizontal="center" vertical="center"/>
    </xf>
    <xf numFmtId="174" fontId="1" fillId="35" borderId="13" xfId="42" applyNumberFormat="1" applyFont="1" applyFill="1" applyBorder="1" applyAlignment="1">
      <alignment horizontal="center" vertical="center"/>
    </xf>
    <xf numFmtId="174" fontId="1" fillId="35" borderId="39" xfId="42" applyNumberFormat="1" applyFont="1" applyFill="1" applyBorder="1" applyAlignment="1">
      <alignment horizontal="center" vertical="center"/>
    </xf>
    <xf numFmtId="0" fontId="7" fillId="32" borderId="19" xfId="0" applyFont="1" applyFill="1" applyBorder="1" applyAlignment="1">
      <alignment horizontal="center" vertical="center" wrapText="1"/>
    </xf>
    <xf numFmtId="0" fontId="34" fillId="0" borderId="0" xfId="0" applyFont="1" applyFill="1"/>
    <xf numFmtId="174" fontId="1" fillId="0" borderId="0" xfId="42" applyNumberFormat="1" applyFont="1" applyFill="1" applyBorder="1" applyAlignment="1">
      <alignment horizontal="center" vertical="center"/>
    </xf>
    <xf numFmtId="0" fontId="37" fillId="0" borderId="0" xfId="0" applyFont="1" applyFill="1" applyAlignment="1">
      <alignment vertical="center"/>
    </xf>
    <xf numFmtId="0" fontId="7" fillId="32" borderId="29" xfId="0" applyFont="1" applyFill="1" applyBorder="1" applyAlignment="1">
      <alignment horizontal="center" vertical="center"/>
    </xf>
    <xf numFmtId="0" fontId="7" fillId="32" borderId="29" xfId="0" applyFont="1" applyFill="1" applyBorder="1" applyAlignment="1">
      <alignment horizontal="center" vertical="center" wrapText="1"/>
    </xf>
    <xf numFmtId="0" fontId="7" fillId="32" borderId="27" xfId="0" applyFont="1" applyFill="1" applyBorder="1" applyAlignment="1">
      <alignment horizontal="center" vertical="center" wrapText="1"/>
    </xf>
    <xf numFmtId="166" fontId="7" fillId="32" borderId="9" xfId="0" applyNumberFormat="1" applyFont="1" applyFill="1" applyBorder="1" applyAlignment="1">
      <alignment horizontal="center" vertical="center"/>
    </xf>
    <xf numFmtId="166" fontId="7" fillId="32" borderId="10" xfId="0" applyNumberFormat="1" applyFont="1" applyFill="1" applyBorder="1" applyAlignment="1">
      <alignment horizontal="center" vertical="center"/>
    </xf>
    <xf numFmtId="0" fontId="7" fillId="32" borderId="104" xfId="0" applyFont="1" applyFill="1" applyBorder="1" applyAlignment="1">
      <alignment horizontal="center" vertical="center" wrapText="1"/>
    </xf>
    <xf numFmtId="174" fontId="1" fillId="35" borderId="36" xfId="42" applyNumberFormat="1" applyFont="1" applyFill="1" applyBorder="1" applyAlignment="1">
      <alignment horizontal="center" vertical="center"/>
    </xf>
    <xf numFmtId="174" fontId="1" fillId="35" borderId="37" xfId="42" applyNumberFormat="1" applyFont="1" applyFill="1" applyBorder="1" applyAlignment="1">
      <alignment horizontal="center" vertical="center"/>
    </xf>
    <xf numFmtId="0" fontId="7" fillId="32" borderId="17" xfId="0" applyFont="1" applyFill="1" applyBorder="1" applyAlignment="1">
      <alignment horizontal="center" vertical="center" wrapText="1"/>
    </xf>
    <xf numFmtId="0" fontId="7" fillId="32" borderId="103" xfId="0" applyFont="1" applyFill="1" applyBorder="1" applyAlignment="1">
      <alignment horizontal="center" vertical="center" wrapText="1"/>
    </xf>
    <xf numFmtId="0" fontId="7" fillId="32" borderId="13" xfId="0" applyFont="1" applyFill="1" applyBorder="1" applyAlignment="1">
      <alignment horizontal="center" vertical="center"/>
    </xf>
    <xf numFmtId="166" fontId="7" fillId="32" borderId="8" xfId="0" applyNumberFormat="1" applyFont="1" applyFill="1" applyBorder="1" applyAlignment="1">
      <alignment horizontal="center" vertical="center"/>
    </xf>
    <xf numFmtId="166" fontId="7" fillId="32" borderId="27" xfId="0" applyNumberFormat="1" applyFont="1" applyFill="1" applyBorder="1" applyAlignment="1">
      <alignment horizontal="center" vertical="center"/>
    </xf>
    <xf numFmtId="166" fontId="7" fillId="32" borderId="28" xfId="0" applyNumberFormat="1" applyFont="1" applyFill="1" applyBorder="1" applyAlignment="1">
      <alignment horizontal="center" vertical="center"/>
    </xf>
    <xf numFmtId="166" fontId="7" fillId="32" borderId="14" xfId="0" applyNumberFormat="1" applyFont="1" applyFill="1" applyBorder="1" applyAlignment="1">
      <alignment horizontal="center" vertical="center"/>
    </xf>
    <xf numFmtId="174" fontId="1" fillId="35" borderId="66" xfId="42" applyNumberFormat="1" applyFont="1" applyFill="1" applyBorder="1" applyAlignment="1">
      <alignment horizontal="center" vertical="center"/>
    </xf>
    <xf numFmtId="0" fontId="1" fillId="33" borderId="8" xfId="0" applyNumberFormat="1" applyFont="1" applyFill="1" applyBorder="1" applyAlignment="1">
      <alignment horizontal="center" vertical="center"/>
    </xf>
    <xf numFmtId="0" fontId="1" fillId="33" borderId="27" xfId="0" applyNumberFormat="1" applyFont="1" applyFill="1" applyBorder="1" applyAlignment="1">
      <alignment horizontal="center" vertical="center"/>
    </xf>
  </cellXfs>
  <cellStyles count="43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Euro" xfId="30" xr:uid="{00000000-0005-0000-0000-00001D000000}"/>
    <cellStyle name="Hipervínculo" xfId="31" builtinId="8"/>
    <cellStyle name="Incorrecto" xfId="32" builtinId="27" customBuiltin="1"/>
    <cellStyle name="Millares" xfId="42" builtinId="3"/>
    <cellStyle name="Neutral" xfId="33" builtinId="28" customBuiltin="1"/>
    <cellStyle name="Normal" xfId="0" builtinId="0"/>
    <cellStyle name="Notas" xfId="34" builtinId="10" customBuiltin="1"/>
    <cellStyle name="Salida" xfId="35" builtinId="21" customBuiltin="1"/>
    <cellStyle name="Texto de advertencia" xfId="36" builtinId="11" customBuiltin="1"/>
    <cellStyle name="Texto explicativo" xfId="37" builtinId="53" customBuiltin="1"/>
    <cellStyle name="Título" xfId="38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Regresión T= 2 años</a:t>
            </a:r>
          </a:p>
        </c:rich>
      </c:tx>
      <c:layout>
        <c:manualLayout>
          <c:xMode val="edge"/>
          <c:yMode val="edge"/>
          <c:x val="0.32518380922635193"/>
          <c:y val="4.18408709741607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25445094558342"/>
          <c:y val="0.1704755678103414"/>
          <c:w val="0.78728700346572655"/>
          <c:h val="0.56087055784693574"/>
        </c:manualLayout>
      </c:layout>
      <c:scatterChart>
        <c:scatterStyle val="smoothMarker"/>
        <c:varyColors val="0"/>
        <c:ser>
          <c:idx val="0"/>
          <c:order val="0"/>
          <c:tx>
            <c:v>I Vs. t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trendline>
            <c:spPr>
              <a:ln w="12700">
                <a:solidFill>
                  <a:schemeClr val="accent2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1.3339031994695862E-2"/>
                  <c:y val="-0.18612278158370998"/>
                </c:manualLayout>
              </c:layout>
              <c:tx>
                <c:rich>
                  <a:bodyPr/>
                  <a:lstStyle/>
                  <a:p>
                    <a:pPr>
                      <a:defRPr sz="10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PE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y = 27,4095x</a:t>
                    </a:r>
                    <a:r>
                      <a:rPr lang="es-PE" sz="900" b="0" i="0" u="none" strike="noStrike" baseline="3000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-0,6164</a:t>
                    </a:r>
                    <a:endParaRPr lang="es-PE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endParaRPr lang="es-PE" sz="900" b="0" i="0" u="none" strike="noStrike" baseline="0">
                      <a:solidFill>
                        <a:srgbClr val="000000"/>
                      </a:solidFill>
                      <a:latin typeface="Arial"/>
                      <a:cs typeface="Arial"/>
                    </a:endParaRPr>
                  </a:p>
                  <a:p>
                    <a:pPr>
                      <a:defRPr sz="1075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PE" sz="900" b="0" i="0" u="none" strike="noStrike" baseline="0">
                        <a:solidFill>
                          <a:srgbClr val="000000"/>
                        </a:solidFill>
                        <a:latin typeface="Arial"/>
                        <a:cs typeface="Arial"/>
                      </a:rPr>
                      <a:t>R² = 0,999</a:t>
                    </a:r>
                  </a:p>
                </c:rich>
              </c:tx>
              <c:numFmt formatCode="#,##0.0000" sourceLinked="0"/>
              <c:spPr>
                <a:noFill/>
                <a:ln w="25400">
                  <a:noFill/>
                </a:ln>
              </c:spPr>
            </c:trendlineLbl>
          </c:trendline>
          <c:xVal>
            <c:numRef>
              <c:f>'Regresiones I-D-T'!$B$20:$B$29</c:f>
              <c:numCache>
                <c:formatCode>General</c:formatCode>
                <c:ptCount val="10"/>
                <c:pt idx="0">
                  <c:v>1440</c:v>
                </c:pt>
                <c:pt idx="1">
                  <c:v>1080</c:v>
                </c:pt>
                <c:pt idx="2">
                  <c:v>720</c:v>
                </c:pt>
                <c:pt idx="3">
                  <c:v>480</c:v>
                </c:pt>
                <c:pt idx="4">
                  <c:v>360</c:v>
                </c:pt>
                <c:pt idx="5">
                  <c:v>300</c:v>
                </c:pt>
                <c:pt idx="6">
                  <c:v>240</c:v>
                </c:pt>
                <c:pt idx="7">
                  <c:v>180</c:v>
                </c:pt>
                <c:pt idx="8">
                  <c:v>120</c:v>
                </c:pt>
                <c:pt idx="9">
                  <c:v>60</c:v>
                </c:pt>
              </c:numCache>
            </c:numRef>
          </c:xVal>
          <c:yVal>
            <c:numRef>
              <c:f>'Regresiones I-D-T'!$C$20:$C$29</c:f>
              <c:numCache>
                <c:formatCode>0.0000</c:formatCode>
                <c:ptCount val="10"/>
                <c:pt idx="0">
                  <c:v>2.7567539750351808</c:v>
                </c:pt>
                <c:pt idx="1">
                  <c:v>3.3081047700422168</c:v>
                </c:pt>
                <c:pt idx="2">
                  <c:v>4.3556712805555859</c:v>
                </c:pt>
                <c:pt idx="3">
                  <c:v>5.2929676320675467</c:v>
                </c:pt>
                <c:pt idx="4">
                  <c:v>6.1751289040788047</c:v>
                </c:pt>
                <c:pt idx="5">
                  <c:v>6.6162095400844336</c:v>
                </c:pt>
                <c:pt idx="6">
                  <c:v>7.2778304940928766</c:v>
                </c:pt>
                <c:pt idx="7">
                  <c:v>8.3805320841069495</c:v>
                </c:pt>
                <c:pt idx="8">
                  <c:v>10.255124787130873</c:v>
                </c:pt>
                <c:pt idx="9">
                  <c:v>16.540523850211084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D5E0-4B32-A6D4-01516531A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813551"/>
        <c:axId val="1"/>
      </c:scatterChart>
      <c:valAx>
        <c:axId val="1267813551"/>
        <c:scaling>
          <c:orientation val="minMax"/>
          <c:max val="16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Duración (min)</a:t>
                </a:r>
              </a:p>
            </c:rich>
          </c:tx>
          <c:layout>
            <c:manualLayout>
              <c:xMode val="edge"/>
              <c:yMode val="edge"/>
              <c:x val="0.42102418048807727"/>
              <c:y val="0.799845019372578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3.9119995178055769E-2"/>
              <c:y val="0.2050207983929806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813551"/>
        <c:crosses val="autoZero"/>
        <c:crossBetween val="midCat"/>
        <c:majorUnit val="2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079979896130006"/>
          <c:y val="0.88110086239220098"/>
          <c:w val="0.50105918388593906"/>
          <c:h val="9.0255739693188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Curvas IDF de la cuenca</a:t>
            </a:r>
          </a:p>
        </c:rich>
      </c:tx>
      <c:layout>
        <c:manualLayout>
          <c:xMode val="edge"/>
          <c:yMode val="edge"/>
          <c:x val="0.35980660312197815"/>
          <c:y val="8.105372393995131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336677266303251E-2"/>
          <c:y val="7.8987811306930653E-2"/>
          <c:w val="0.83292032606501121"/>
          <c:h val="0.80897489040298654"/>
        </c:manualLayout>
      </c:layout>
      <c:scatterChart>
        <c:scatterStyle val="smoothMarker"/>
        <c:varyColors val="0"/>
        <c:ser>
          <c:idx val="1"/>
          <c:order val="0"/>
          <c:tx>
            <c:v>T2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Cuenca'!$B$10:$M$10</c:f>
              <c:numCache>
                <c:formatCode>0.00</c:formatCode>
                <c:ptCount val="12"/>
                <c:pt idx="0">
                  <c:v>77.06169493527959</c:v>
                </c:pt>
                <c:pt idx="1">
                  <c:v>53.000300953871175</c:v>
                </c:pt>
                <c:pt idx="2">
                  <c:v>42.578141621664756</c:v>
                </c:pt>
                <c:pt idx="3">
                  <c:v>36.451727457592121</c:v>
                </c:pt>
                <c:pt idx="4">
                  <c:v>32.313605021116601</c:v>
                </c:pt>
                <c:pt idx="5">
                  <c:v>29.283735867736059</c:v>
                </c:pt>
                <c:pt idx="6">
                  <c:v>26.944760007539418</c:v>
                </c:pt>
                <c:pt idx="7">
                  <c:v>25.070205465418667</c:v>
                </c:pt>
                <c:pt idx="8">
                  <c:v>23.525282508736758</c:v>
                </c:pt>
                <c:pt idx="9">
                  <c:v>22.22415160297291</c:v>
                </c:pt>
                <c:pt idx="10">
                  <c:v>21.109239519908584</c:v>
                </c:pt>
                <c:pt idx="11">
                  <c:v>20.140315046887732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404-4908-BBCD-8CD896F69DFA}"/>
            </c:ext>
          </c:extLst>
        </c:ser>
        <c:ser>
          <c:idx val="0"/>
          <c:order val="1"/>
          <c:tx>
            <c:v>T5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Cuenca'!$B$11:$M$11</c:f>
              <c:numCache>
                <c:formatCode>0.00</c:formatCode>
                <c:ptCount val="12"/>
                <c:pt idx="0">
                  <c:v>98.753156721534964</c:v>
                </c:pt>
                <c:pt idx="1">
                  <c:v>67.918919130728952</c:v>
                </c:pt>
                <c:pt idx="2">
                  <c:v>54.563112010543207</c:v>
                </c:pt>
                <c:pt idx="3">
                  <c:v>46.712223983828906</c:v>
                </c:pt>
                <c:pt idx="4">
                  <c:v>41.409295546485623</c:v>
                </c:pt>
                <c:pt idx="5">
                  <c:v>37.526573480732665</c:v>
                </c:pt>
                <c:pt idx="6">
                  <c:v>34.52921857069758</c:v>
                </c:pt>
                <c:pt idx="7">
                  <c:v>32.127011110342764</c:v>
                </c:pt>
                <c:pt idx="8">
                  <c:v>30.147220515391037</c:v>
                </c:pt>
                <c:pt idx="9">
                  <c:v>28.47984498776939</c:v>
                </c:pt>
                <c:pt idx="10">
                  <c:v>27.05110548545176</c:v>
                </c:pt>
                <c:pt idx="11">
                  <c:v>25.809446443097194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404-4908-BBCD-8CD896F69DFA}"/>
            </c:ext>
          </c:extLst>
        </c:ser>
        <c:ser>
          <c:idx val="2"/>
          <c:order val="2"/>
          <c:tx>
            <c:v>T10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Cuenca'!$B$12:$M$12</c:f>
              <c:numCache>
                <c:formatCode>0.00</c:formatCode>
                <c:ptCount val="12"/>
                <c:pt idx="0">
                  <c:v>119.13305945536798</c:v>
                </c:pt>
                <c:pt idx="1">
                  <c:v>81.935493502872333</c:v>
                </c:pt>
                <c:pt idx="2">
                  <c:v>65.823419554591737</c:v>
                </c:pt>
                <c:pt idx="3">
                  <c:v>56.352326770172098</c:v>
                </c:pt>
                <c:pt idx="4">
                  <c:v>49.9550215114146</c:v>
                </c:pt>
                <c:pt idx="5">
                  <c:v>45.271013687620687</c:v>
                </c:pt>
                <c:pt idx="6">
                  <c:v>41.655088156116335</c:v>
                </c:pt>
                <c:pt idx="7">
                  <c:v>38.75713194186023</c:v>
                </c:pt>
                <c:pt idx="8">
                  <c:v>36.368767675970098</c:v>
                </c:pt>
                <c:pt idx="9">
                  <c:v>34.357292251172275</c:v>
                </c:pt>
                <c:pt idx="10">
                  <c:v>32.633700684820639</c:v>
                </c:pt>
                <c:pt idx="11">
                  <c:v>31.135797777947136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6404-4908-BBCD-8CD896F69DFA}"/>
            </c:ext>
          </c:extLst>
        </c:ser>
        <c:ser>
          <c:idx val="3"/>
          <c:order val="3"/>
          <c:tx>
            <c:v>T25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Cuenca'!$B$13:$M$13</c:f>
              <c:numCache>
                <c:formatCode>0.00</c:formatCode>
                <c:ptCount val="12"/>
                <c:pt idx="0">
                  <c:v>152.66684311826458</c:v>
                </c:pt>
                <c:pt idx="1">
                  <c:v>104.99884070472402</c:v>
                </c:pt>
                <c:pt idx="2">
                  <c:v>84.351511768346242</c:v>
                </c:pt>
                <c:pt idx="3">
                  <c:v>72.214479084994238</c:v>
                </c:pt>
                <c:pt idx="4">
                  <c:v>64.01644906055526</c:v>
                </c:pt>
                <c:pt idx="5">
                  <c:v>58.013978454419501</c:v>
                </c:pt>
                <c:pt idx="6">
                  <c:v>53.38023582773647</c:v>
                </c:pt>
                <c:pt idx="7">
                  <c:v>49.666557787837014</c:v>
                </c:pt>
                <c:pt idx="8">
                  <c:v>46.605912536578941</c:v>
                </c:pt>
                <c:pt idx="9">
                  <c:v>44.028243462035448</c:v>
                </c:pt>
                <c:pt idx="10">
                  <c:v>41.819492302087689</c:v>
                </c:pt>
                <c:pt idx="11">
                  <c:v>39.899957043482814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6404-4908-BBCD-8CD896F69DFA}"/>
            </c:ext>
          </c:extLst>
        </c:ser>
        <c:ser>
          <c:idx val="4"/>
          <c:order val="4"/>
          <c:tx>
            <c:v>T50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Cuenca'!$B$14:$M$14</c:f>
            </c:numRef>
          </c:yVal>
          <c:smooth val="1"/>
          <c:extLst>
            <c:ext xmlns:c16="http://schemas.microsoft.com/office/drawing/2014/chart" uri="{C3380CC4-5D6E-409C-BE32-E72D297353CC}">
              <c16:uniqueId val="{00000004-6404-4908-BBCD-8CD896F69DFA}"/>
            </c:ext>
          </c:extLst>
        </c:ser>
        <c:ser>
          <c:idx val="5"/>
          <c:order val="5"/>
          <c:tx>
            <c:v>T100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Cuenca'!$B$15:$M$15</c:f>
            </c:numRef>
          </c:yVal>
          <c:smooth val="1"/>
          <c:extLst>
            <c:ext xmlns:c16="http://schemas.microsoft.com/office/drawing/2014/chart" uri="{C3380CC4-5D6E-409C-BE32-E72D297353CC}">
              <c16:uniqueId val="{00000005-6404-4908-BBCD-8CD896F69DFA}"/>
            </c:ext>
          </c:extLst>
        </c:ser>
        <c:ser>
          <c:idx val="6"/>
          <c:order val="6"/>
          <c:tx>
            <c:v>T500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Cuenca'!$B$16:$M$16</c:f>
            </c:numRef>
          </c:yVal>
          <c:smooth val="1"/>
          <c:extLst>
            <c:ext xmlns:c16="http://schemas.microsoft.com/office/drawing/2014/chart" uri="{C3380CC4-5D6E-409C-BE32-E72D297353CC}">
              <c16:uniqueId val="{00000006-6404-4908-BBCD-8CD896F69D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009775"/>
        <c:axId val="1"/>
      </c:scatterChart>
      <c:valAx>
        <c:axId val="1238009775"/>
        <c:scaling>
          <c:orientation val="minMax"/>
          <c:max val="60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 sz="1000" b="1"/>
                  <a:t>TIEMPO DE DURACION (min)</a:t>
                </a:r>
              </a:p>
            </c:rich>
          </c:tx>
          <c:layout>
            <c:manualLayout>
              <c:xMode val="edge"/>
              <c:yMode val="edge"/>
              <c:x val="0.35524527045455351"/>
              <c:y val="0.9270528286847751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 sz="1000" b="1"/>
                  <a:t>INTENSIDAD (mm/h)</a:t>
                </a:r>
              </a:p>
            </c:rich>
          </c:tx>
          <c:layout>
            <c:manualLayout>
              <c:xMode val="edge"/>
              <c:yMode val="edge"/>
              <c:x val="4.0040127195639002E-3"/>
              <c:y val="0.2601099789291212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8009775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1513640722794265"/>
          <c:y val="0.39201278506649007"/>
          <c:w val="8.2885372501514232E-2"/>
          <c:h val="0.2624085669291338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" footer="0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Regresión T= 5 años</a:t>
            </a:r>
          </a:p>
        </c:rich>
      </c:tx>
      <c:layout>
        <c:manualLayout>
          <c:xMode val="edge"/>
          <c:yMode val="edge"/>
          <c:x val="0.32439009742426267"/>
          <c:y val="4.16665245364185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34146341463433"/>
          <c:y val="0.18955055699470791"/>
          <c:w val="0.7853658536585375"/>
          <c:h val="0.55253943419938956"/>
        </c:manualLayout>
      </c:layout>
      <c:scatterChart>
        <c:scatterStyle val="smoothMarker"/>
        <c:varyColors val="0"/>
        <c:ser>
          <c:idx val="0"/>
          <c:order val="0"/>
          <c:tx>
            <c:v>I vs T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trendline>
            <c:spPr>
              <a:ln w="12700">
                <a:solidFill>
                  <a:schemeClr val="accent2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1.2292682926829213E-2"/>
                  <c:y val="-0.18505690865654234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'Regresiones I-D-T'!$B$69:$B$78</c:f>
              <c:numCache>
                <c:formatCode>General</c:formatCode>
                <c:ptCount val="10"/>
                <c:pt idx="0">
                  <c:v>1440</c:v>
                </c:pt>
                <c:pt idx="1">
                  <c:v>1080</c:v>
                </c:pt>
                <c:pt idx="2">
                  <c:v>720</c:v>
                </c:pt>
                <c:pt idx="3">
                  <c:v>480</c:v>
                </c:pt>
                <c:pt idx="4">
                  <c:v>360</c:v>
                </c:pt>
                <c:pt idx="5">
                  <c:v>300</c:v>
                </c:pt>
                <c:pt idx="6">
                  <c:v>240</c:v>
                </c:pt>
                <c:pt idx="7">
                  <c:v>180</c:v>
                </c:pt>
                <c:pt idx="8">
                  <c:v>120</c:v>
                </c:pt>
                <c:pt idx="9">
                  <c:v>60</c:v>
                </c:pt>
              </c:numCache>
            </c:numRef>
          </c:xVal>
          <c:yVal>
            <c:numRef>
              <c:f>'Regresiones I-D-T'!$C$69:$C$78</c:f>
              <c:numCache>
                <c:formatCode>0.0000</c:formatCode>
                <c:ptCount val="10"/>
                <c:pt idx="0">
                  <c:v>4.8014729296053114</c:v>
                </c:pt>
                <c:pt idx="1">
                  <c:v>5.7617675155263743</c:v>
                </c:pt>
                <c:pt idx="2">
                  <c:v>7.5863272287763932</c:v>
                </c:pt>
                <c:pt idx="3">
                  <c:v>9.2188280248421979</c:v>
                </c:pt>
                <c:pt idx="4">
                  <c:v>10.755299362315901</c:v>
                </c:pt>
                <c:pt idx="5">
                  <c:v>11.523535031052749</c:v>
                </c:pt>
                <c:pt idx="6">
                  <c:v>12.675888534158023</c:v>
                </c:pt>
                <c:pt idx="7">
                  <c:v>14.596477706000149</c:v>
                </c:pt>
                <c:pt idx="8">
                  <c:v>17.861479298131758</c:v>
                </c:pt>
                <c:pt idx="9">
                  <c:v>28.80883757763187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4B6-4349-A5A9-1B1072D83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809807"/>
        <c:axId val="1"/>
      </c:scatterChart>
      <c:valAx>
        <c:axId val="1267809807"/>
        <c:scaling>
          <c:orientation val="minMax"/>
          <c:max val="16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Duración (min)</a:t>
                </a:r>
              </a:p>
            </c:rich>
          </c:tx>
          <c:layout>
            <c:manualLayout>
              <c:xMode val="edge"/>
              <c:yMode val="edge"/>
              <c:x val="0.4365854797811291"/>
              <c:y val="0.806816281515299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4.146336580808755E-2"/>
              <c:y val="0.2041672588760340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809807"/>
        <c:crosses val="autoZero"/>
        <c:crossBetween val="midCat"/>
        <c:majorUnit val="4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224031318119132"/>
          <c:y val="0.88241538211632342"/>
          <c:w val="0.5000160149472842"/>
          <c:h val="9.025573969318823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Regresión T= 10 años</a:t>
            </a:r>
          </a:p>
        </c:rich>
      </c:tx>
      <c:layout>
        <c:manualLayout>
          <c:xMode val="edge"/>
          <c:yMode val="edge"/>
          <c:x val="0.3155343082114736"/>
          <c:y val="4.14943635642666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24055583557"/>
          <c:y val="0.15985619979320767"/>
          <c:w val="0.78640869900151111"/>
          <c:h val="0.57186033563986316"/>
        </c:manualLayout>
      </c:layout>
      <c:scatterChart>
        <c:scatterStyle val="smoothMarker"/>
        <c:varyColors val="0"/>
        <c:ser>
          <c:idx val="0"/>
          <c:order val="0"/>
          <c:tx>
            <c:v>I vs T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trendline>
            <c:spPr>
              <a:ln w="12700">
                <a:solidFill>
                  <a:schemeClr val="accent2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1.2717857114886835E-2"/>
                  <c:y val="-0.19258713014513268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'Regresiones I-D-T'!$B$117:$B$126</c:f>
              <c:numCache>
                <c:formatCode>General</c:formatCode>
                <c:ptCount val="10"/>
                <c:pt idx="0">
                  <c:v>1440</c:v>
                </c:pt>
                <c:pt idx="1">
                  <c:v>1080</c:v>
                </c:pt>
                <c:pt idx="2">
                  <c:v>720</c:v>
                </c:pt>
                <c:pt idx="3">
                  <c:v>480</c:v>
                </c:pt>
                <c:pt idx="4">
                  <c:v>360</c:v>
                </c:pt>
                <c:pt idx="5">
                  <c:v>300</c:v>
                </c:pt>
                <c:pt idx="6">
                  <c:v>240</c:v>
                </c:pt>
                <c:pt idx="7">
                  <c:v>180</c:v>
                </c:pt>
                <c:pt idx="8">
                  <c:v>120</c:v>
                </c:pt>
                <c:pt idx="9">
                  <c:v>60</c:v>
                </c:pt>
              </c:numCache>
            </c:numRef>
          </c:xVal>
          <c:yVal>
            <c:numRef>
              <c:f>'Regresiones I-D-T'!$C$117:$C$126</c:f>
              <c:numCache>
                <c:formatCode>0.0000</c:formatCode>
                <c:ptCount val="10"/>
                <c:pt idx="0">
                  <c:v>6.1552547943975346</c:v>
                </c:pt>
                <c:pt idx="1">
                  <c:v>7.3863057532770409</c:v>
                </c:pt>
                <c:pt idx="2">
                  <c:v>9.7253025751481044</c:v>
                </c:pt>
                <c:pt idx="3">
                  <c:v>11.818089205243266</c:v>
                </c:pt>
                <c:pt idx="4">
                  <c:v>13.787770739450478</c:v>
                </c:pt>
                <c:pt idx="5">
                  <c:v>14.772611506554082</c:v>
                </c:pt>
                <c:pt idx="6">
                  <c:v>16.24987265720949</c:v>
                </c:pt>
                <c:pt idx="7">
                  <c:v>18.711974574968504</c:v>
                </c:pt>
                <c:pt idx="8">
                  <c:v>22.897547835158829</c:v>
                </c:pt>
                <c:pt idx="9">
                  <c:v>36.931528766385206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ACB-4A29-95A5-E1E04A10C3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806895"/>
        <c:axId val="1"/>
      </c:scatterChart>
      <c:valAx>
        <c:axId val="1267806895"/>
        <c:scaling>
          <c:orientation val="minMax"/>
          <c:max val="16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Duración (min)</a:t>
                </a:r>
              </a:p>
            </c:rich>
          </c:tx>
          <c:layout>
            <c:manualLayout>
              <c:xMode val="edge"/>
              <c:yMode val="edge"/>
              <c:x val="0.43689384415183402"/>
              <c:y val="0.807386303984729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4.1262048126337145E-2"/>
              <c:y val="0.2074691742668857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806895"/>
        <c:crosses val="autoZero"/>
        <c:crossBetween val="midCat"/>
        <c:majorUnit val="4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000838130527803"/>
          <c:y val="0.88531106338980359"/>
          <c:w val="0.49581353801363065"/>
          <c:h val="8.9930701108404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Regresión T= 25 años</a:t>
            </a:r>
          </a:p>
        </c:rich>
      </c:tx>
      <c:layout>
        <c:manualLayout>
          <c:xMode val="edge"/>
          <c:yMode val="edge"/>
          <c:x val="0.3155343954098761"/>
          <c:y val="4.13222260260945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63124055583557"/>
          <c:y val="0.13556515954402351"/>
          <c:w val="0.78640869900151111"/>
          <c:h val="0.58858567351512314"/>
        </c:manualLayout>
      </c:layout>
      <c:scatterChart>
        <c:scatterStyle val="smoothMarker"/>
        <c:varyColors val="0"/>
        <c:ser>
          <c:idx val="0"/>
          <c:order val="0"/>
          <c:tx>
            <c:v>I vs T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trendline>
            <c:spPr>
              <a:ln w="12700">
                <a:solidFill>
                  <a:schemeClr val="accent2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1.2717857114886835E-2"/>
                  <c:y val="-0.19179063360881538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'Regresiones I-D-T'!$B$167:$B$176</c:f>
              <c:numCache>
                <c:formatCode>General</c:formatCode>
                <c:ptCount val="10"/>
                <c:pt idx="0">
                  <c:v>1440</c:v>
                </c:pt>
                <c:pt idx="1">
                  <c:v>1080</c:v>
                </c:pt>
                <c:pt idx="2">
                  <c:v>720</c:v>
                </c:pt>
                <c:pt idx="3">
                  <c:v>480</c:v>
                </c:pt>
                <c:pt idx="4">
                  <c:v>360</c:v>
                </c:pt>
                <c:pt idx="5">
                  <c:v>300</c:v>
                </c:pt>
                <c:pt idx="6">
                  <c:v>240</c:v>
                </c:pt>
                <c:pt idx="7">
                  <c:v>180</c:v>
                </c:pt>
                <c:pt idx="8">
                  <c:v>120</c:v>
                </c:pt>
                <c:pt idx="9">
                  <c:v>60</c:v>
                </c:pt>
              </c:numCache>
            </c:numRef>
          </c:xVal>
          <c:yVal>
            <c:numRef>
              <c:f>'Regresiones I-D-T'!$C$167:$C$176</c:f>
              <c:numCache>
                <c:formatCode>0.0000</c:formatCode>
                <c:ptCount val="10"/>
                <c:pt idx="0">
                  <c:v>7.8657617693686559</c:v>
                </c:pt>
                <c:pt idx="1">
                  <c:v>8.2852690637349848</c:v>
                </c:pt>
                <c:pt idx="2">
                  <c:v>12.427903595602478</c:v>
                </c:pt>
                <c:pt idx="3">
                  <c:v>15.102262597187819</c:v>
                </c:pt>
                <c:pt idx="4">
                  <c:v>17.619306363385792</c:v>
                </c:pt>
                <c:pt idx="5">
                  <c:v>18.877828246484775</c:v>
                </c:pt>
                <c:pt idx="6">
                  <c:v>20.76561107113325</c:v>
                </c:pt>
                <c:pt idx="7">
                  <c:v>23.911915778880712</c:v>
                </c:pt>
                <c:pt idx="8">
                  <c:v>29.2606337820514</c:v>
                </c:pt>
                <c:pt idx="9">
                  <c:v>47.194570616211934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5F9-45BC-BB2A-17F7CF81A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810639"/>
        <c:axId val="1"/>
      </c:scatterChart>
      <c:valAx>
        <c:axId val="1267810639"/>
        <c:scaling>
          <c:orientation val="minMax"/>
          <c:max val="16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Duración (min)</a:t>
                </a:r>
              </a:p>
            </c:rich>
          </c:tx>
          <c:layout>
            <c:manualLayout>
              <c:xMode val="edge"/>
              <c:yMode val="edge"/>
              <c:x val="0.41434280545798585"/>
              <c:y val="0.80443731304329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"/>
        <c:minorUnit val="10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4.1262062115385682E-2"/>
              <c:y val="0.2066115105177070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810639"/>
        <c:crosses val="autoZero"/>
        <c:crossBetween val="midCat"/>
        <c:majorUnit val="4"/>
        <c:minorUnit val="0.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229877977726356"/>
          <c:y val="0.87000437608707171"/>
          <c:w val="0.49684406785304053"/>
          <c:h val="9.058275324280118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Regresión T= 50 años</a:t>
            </a:r>
          </a:p>
        </c:rich>
      </c:tx>
      <c:layout>
        <c:manualLayout>
          <c:xMode val="edge"/>
          <c:yMode val="edge"/>
          <c:x val="0.30992747471048149"/>
          <c:y val="4.115217349656110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307"/>
          <c:y val="0.17849051826721016"/>
          <c:w val="0.78934624697336553"/>
          <c:h val="0.53671451840224149"/>
        </c:manualLayout>
      </c:layout>
      <c:scatterChart>
        <c:scatterStyle val="smoothMarker"/>
        <c:varyColors val="0"/>
        <c:ser>
          <c:idx val="0"/>
          <c:order val="0"/>
          <c:tx>
            <c:v>I vs T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trendline>
            <c:spPr>
              <a:ln w="12700">
                <a:solidFill>
                  <a:schemeClr val="accent2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1.075060532687658E-2"/>
                  <c:y val="-0.19100270710457187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'Regresiones I-D-T'!$B$216:$B$225</c:f>
              <c:numCache>
                <c:formatCode>General</c:formatCode>
                <c:ptCount val="10"/>
                <c:pt idx="0">
                  <c:v>1440</c:v>
                </c:pt>
                <c:pt idx="1">
                  <c:v>1080</c:v>
                </c:pt>
                <c:pt idx="2">
                  <c:v>720</c:v>
                </c:pt>
                <c:pt idx="3">
                  <c:v>480</c:v>
                </c:pt>
                <c:pt idx="4">
                  <c:v>360</c:v>
                </c:pt>
                <c:pt idx="5">
                  <c:v>300</c:v>
                </c:pt>
                <c:pt idx="6">
                  <c:v>240</c:v>
                </c:pt>
                <c:pt idx="7">
                  <c:v>180</c:v>
                </c:pt>
                <c:pt idx="8">
                  <c:v>120</c:v>
                </c:pt>
                <c:pt idx="9">
                  <c:v>60</c:v>
                </c:pt>
              </c:numCache>
            </c:numRef>
          </c:xVal>
          <c:yVal>
            <c:numRef>
              <c:f>'Regresiones I-D-T'!$C$216:$C$225</c:f>
              <c:numCache>
                <c:formatCode>0.0000</c:formatCode>
                <c:ptCount val="10"/>
                <c:pt idx="0">
                  <c:v>9.134713557402188</c:v>
                </c:pt>
                <c:pt idx="1">
                  <c:v>10.961656268882628</c:v>
                </c:pt>
                <c:pt idx="2">
                  <c:v>14.43284742069546</c:v>
                </c:pt>
                <c:pt idx="3">
                  <c:v>17.538650030212203</c:v>
                </c:pt>
                <c:pt idx="4">
                  <c:v>20.461758368580906</c:v>
                </c:pt>
                <c:pt idx="5">
                  <c:v>21.923312537765252</c:v>
                </c:pt>
                <c:pt idx="6">
                  <c:v>24.115643791541778</c:v>
                </c:pt>
                <c:pt idx="7">
                  <c:v>27.769529214502654</c:v>
                </c:pt>
                <c:pt idx="8">
                  <c:v>33.981134433536141</c:v>
                </c:pt>
                <c:pt idx="9">
                  <c:v>54.808281344413132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6E-4F9F-B857-333E08A8F4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67811471"/>
        <c:axId val="1"/>
      </c:scatterChart>
      <c:valAx>
        <c:axId val="1267811471"/>
        <c:scaling>
          <c:orientation val="minMax"/>
          <c:max val="16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Duración (min)</a:t>
                </a:r>
              </a:p>
            </c:rich>
          </c:tx>
          <c:layout>
            <c:manualLayout>
              <c:xMode val="edge"/>
              <c:yMode val="edge"/>
              <c:x val="0.42737871296743302"/>
              <c:y val="0.7877313888818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3.8740823359025151E-2"/>
              <c:y val="0.2098775791712167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67811471"/>
        <c:crosses val="autoZero"/>
        <c:crossBetween val="midCat"/>
        <c:maj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511766631708027"/>
          <c:y val="0.87246693841726375"/>
          <c:w val="0.49684406785304053"/>
          <c:h val="8.75943061861792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Regresión T= 100 años</a:t>
            </a:r>
          </a:p>
        </c:rich>
      </c:tx>
      <c:layout>
        <c:manualLayout>
          <c:xMode val="edge"/>
          <c:yMode val="edge"/>
          <c:x val="0.30120513883133027"/>
          <c:y val="4.08164806737287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6884197199986"/>
          <c:y val="0.16090050257913346"/>
          <c:w val="0.7903623757087429"/>
          <c:h val="0.57257457959710867"/>
        </c:manualLayout>
      </c:layout>
      <c:scatterChart>
        <c:scatterStyle val="smoothMarker"/>
        <c:varyColors val="0"/>
        <c:ser>
          <c:idx val="0"/>
          <c:order val="0"/>
          <c:tx>
            <c:v>I vs T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trendline>
            <c:spPr>
              <a:ln w="12700">
                <a:solidFill>
                  <a:schemeClr val="accent2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1.1180138422812392E-2"/>
                  <c:y val="-0.20766747013766157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'Regresiones I-D-T'!$B$265:$B$274</c:f>
              <c:numCache>
                <c:formatCode>General</c:formatCode>
                <c:ptCount val="10"/>
                <c:pt idx="0">
                  <c:v>1440</c:v>
                </c:pt>
                <c:pt idx="1">
                  <c:v>1080</c:v>
                </c:pt>
                <c:pt idx="2">
                  <c:v>720</c:v>
                </c:pt>
                <c:pt idx="3">
                  <c:v>480</c:v>
                </c:pt>
                <c:pt idx="4">
                  <c:v>360</c:v>
                </c:pt>
                <c:pt idx="5">
                  <c:v>300</c:v>
                </c:pt>
                <c:pt idx="6">
                  <c:v>240</c:v>
                </c:pt>
                <c:pt idx="7">
                  <c:v>180</c:v>
                </c:pt>
                <c:pt idx="8">
                  <c:v>120</c:v>
                </c:pt>
                <c:pt idx="9">
                  <c:v>60</c:v>
                </c:pt>
              </c:numCache>
            </c:numRef>
          </c:xVal>
          <c:yVal>
            <c:numRef>
              <c:f>'Regresiones I-D-T'!$C$265:$C$274</c:f>
              <c:numCache>
                <c:formatCode>0.0000</c:formatCode>
                <c:ptCount val="10"/>
                <c:pt idx="0">
                  <c:v>10.394295604621304</c:v>
                </c:pt>
                <c:pt idx="1">
                  <c:v>12.473154725545564</c:v>
                </c:pt>
                <c:pt idx="2">
                  <c:v>16.422987055301661</c:v>
                </c:pt>
                <c:pt idx="3">
                  <c:v>19.957047560872905</c:v>
                </c:pt>
                <c:pt idx="4">
                  <c:v>23.283222154351723</c:v>
                </c:pt>
                <c:pt idx="5">
                  <c:v>24.946309451091132</c:v>
                </c:pt>
                <c:pt idx="6">
                  <c:v>27.440940396200244</c:v>
                </c:pt>
                <c:pt idx="7">
                  <c:v>31.598658638048764</c:v>
                </c:pt>
                <c:pt idx="8">
                  <c:v>38.666779649191255</c:v>
                </c:pt>
                <c:pt idx="9">
                  <c:v>62.365773627727826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A9D-4685-B362-8E385E4AA0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095583"/>
        <c:axId val="1"/>
      </c:scatterChart>
      <c:valAx>
        <c:axId val="1270095583"/>
        <c:scaling>
          <c:orientation val="minMax"/>
          <c:max val="16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Duración (min)</a:t>
                </a:r>
              </a:p>
            </c:rich>
          </c:tx>
          <c:layout>
            <c:manualLayout>
              <c:xMode val="edge"/>
              <c:yMode val="edge"/>
              <c:x val="0.41088194502003039"/>
              <c:y val="0.8058239565480184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ax val="45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3.8554275452410552E-2"/>
              <c:y val="0.212244944202118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0095583"/>
        <c:crosses val="autoZero"/>
        <c:crossBetween val="midCat"/>
        <c:maj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334217433347145"/>
          <c:y val="0.87778103446848343"/>
          <c:w val="0.49475253488050841"/>
          <c:h val="8.633357880624636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1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Regresión T= 500 años</a:t>
            </a:r>
          </a:p>
        </c:rich>
      </c:tx>
      <c:layout>
        <c:manualLayout>
          <c:xMode val="edge"/>
          <c:yMode val="edge"/>
          <c:x val="0.31086680761099367"/>
          <c:y val="7.360338080483622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16884197199992"/>
          <c:y val="0.16931270026577905"/>
          <c:w val="0.79036237570874246"/>
          <c:h val="0.56416238191046297"/>
        </c:manualLayout>
      </c:layout>
      <c:scatterChart>
        <c:scatterStyle val="smooth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trendline>
            <c:spPr>
              <a:ln w="12700">
                <a:solidFill>
                  <a:schemeClr val="accent2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4.0458568471752873E-2"/>
                  <c:y val="-0.15548215317850611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'Regresiones I-D-T'!$B$314:$B$323</c:f>
              <c:numCache>
                <c:formatCode>General</c:formatCode>
                <c:ptCount val="10"/>
                <c:pt idx="0">
                  <c:v>1440</c:v>
                </c:pt>
                <c:pt idx="1">
                  <c:v>1080</c:v>
                </c:pt>
                <c:pt idx="2">
                  <c:v>720</c:v>
                </c:pt>
                <c:pt idx="3">
                  <c:v>480</c:v>
                </c:pt>
                <c:pt idx="4">
                  <c:v>360</c:v>
                </c:pt>
                <c:pt idx="5">
                  <c:v>300</c:v>
                </c:pt>
                <c:pt idx="6">
                  <c:v>240</c:v>
                </c:pt>
                <c:pt idx="7">
                  <c:v>180</c:v>
                </c:pt>
                <c:pt idx="8">
                  <c:v>120</c:v>
                </c:pt>
                <c:pt idx="9">
                  <c:v>60</c:v>
                </c:pt>
              </c:numCache>
            </c:numRef>
          </c:xVal>
          <c:yVal>
            <c:numRef>
              <c:f>'Regresiones I-D-T'!$C$314:$C$323</c:f>
              <c:numCache>
                <c:formatCode>0.0000</c:formatCode>
                <c:ptCount val="10"/>
                <c:pt idx="0">
                  <c:v>13.304997430737336</c:v>
                </c:pt>
                <c:pt idx="1">
                  <c:v>15.965996916884803</c:v>
                </c:pt>
                <c:pt idx="2">
                  <c:v>21.021895940564992</c:v>
                </c:pt>
                <c:pt idx="3">
                  <c:v>25.545595067015682</c:v>
                </c:pt>
                <c:pt idx="4">
                  <c:v>29.803194244851635</c:v>
                </c:pt>
                <c:pt idx="5">
                  <c:v>31.931993833769603</c:v>
                </c:pt>
                <c:pt idx="6">
                  <c:v>35.125193217146567</c:v>
                </c:pt>
                <c:pt idx="7">
                  <c:v>40.447192189441502</c:v>
                </c:pt>
                <c:pt idx="8">
                  <c:v>49.49459044234289</c:v>
                </c:pt>
                <c:pt idx="9">
                  <c:v>79.829984584424011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134-4538-9484-B0D67B167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0091839"/>
        <c:axId val="1"/>
      </c:scatterChart>
      <c:valAx>
        <c:axId val="1270091839"/>
        <c:scaling>
          <c:orientation val="minMax"/>
          <c:max val="1600"/>
        </c:scaling>
        <c:delete val="0"/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Duración (min)</a:t>
                </a:r>
              </a:p>
            </c:rich>
          </c:tx>
          <c:layout>
            <c:manualLayout>
              <c:xMode val="edge"/>
              <c:yMode val="edge"/>
              <c:x val="0.4051374762087086"/>
              <c:y val="0.80161785770469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200"/>
      </c:valAx>
      <c:valAx>
        <c:axId val="1"/>
        <c:scaling>
          <c:orientation val="minMax"/>
          <c:max val="50"/>
        </c:scaling>
        <c:delete val="0"/>
        <c:axPos val="l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Intensidad (mm/hr)</a:t>
                </a:r>
              </a:p>
            </c:rich>
          </c:tx>
          <c:layout>
            <c:manualLayout>
              <c:xMode val="edge"/>
              <c:yMode val="edge"/>
              <c:x val="3.8554377320171133E-2"/>
              <c:y val="0.212244805139429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70091839"/>
        <c:crosses val="autoZero"/>
        <c:crossBetween val="midCat"/>
        <c:majorUnit val="5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652733154655877"/>
          <c:y val="0.87364017983556475"/>
          <c:w val="0.49261551608374532"/>
          <c:h val="8.66456313899390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625000000000017"/>
          <c:y val="0.1081510294057129"/>
          <c:w val="0.78365384615384703"/>
          <c:h val="0.58356061580615792"/>
        </c:manualLayout>
      </c:layout>
      <c:scatterChart>
        <c:scatterStyle val="smoothMarker"/>
        <c:varyColors val="0"/>
        <c:ser>
          <c:idx val="0"/>
          <c:order val="0"/>
          <c:tx>
            <c:v>d Vs. T</c:v>
          </c:tx>
          <c:spPr>
            <a:ln w="12700">
              <a:solidFill>
                <a:srgbClr val="000080"/>
              </a:solidFill>
              <a:prstDash val="lgDash"/>
            </a:ln>
          </c:spPr>
          <c:marker>
            <c:symbol val="none"/>
          </c:marker>
          <c:trendline>
            <c:spPr>
              <a:ln w="12700">
                <a:solidFill>
                  <a:schemeClr val="accent2"/>
                </a:solidFill>
                <a:prstDash val="solid"/>
              </a:ln>
            </c:spPr>
            <c:trendlineType val="power"/>
            <c:dispRSqr val="1"/>
            <c:dispEq val="1"/>
            <c:trendlineLbl>
              <c:layout>
                <c:manualLayout>
                  <c:x val="-5.4630838680793888E-2"/>
                  <c:y val="0.19374990209620582"/>
                </c:manualLayout>
              </c:layout>
              <c:numFmt formatCode="#,##0.0000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25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en-US"/>
                </a:p>
              </c:txPr>
            </c:trendlineLbl>
          </c:trendline>
          <c:xVal>
            <c:numRef>
              <c:f>'Cte. Regresión Cuenca'!$B$18:$B$24</c:f>
              <c:numCache>
                <c:formatCode>0</c:formatCode>
                <c:ptCount val="7"/>
                <c:pt idx="0">
                  <c:v>2</c:v>
                </c:pt>
                <c:pt idx="1">
                  <c:v>5</c:v>
                </c:pt>
                <c:pt idx="2">
                  <c:v>10</c:v>
                </c:pt>
                <c:pt idx="3">
                  <c:v>25</c:v>
                </c:pt>
                <c:pt idx="4">
                  <c:v>50</c:v>
                </c:pt>
                <c:pt idx="5">
                  <c:v>100</c:v>
                </c:pt>
                <c:pt idx="6">
                  <c:v>500</c:v>
                </c:pt>
              </c:numCache>
            </c:numRef>
          </c:xVal>
          <c:yVal>
            <c:numRef>
              <c:f>'Cte. Regresión Cuenca'!$C$18:$C$24</c:f>
              <c:numCache>
                <c:formatCode>0.0000</c:formatCode>
                <c:ptCount val="7"/>
                <c:pt idx="0">
                  <c:v>142.05988320144218</c:v>
                </c:pt>
                <c:pt idx="1">
                  <c:v>247.427478023649</c:v>
                </c:pt>
                <c:pt idx="2">
                  <c:v>317.18999413289919</c:v>
                </c:pt>
                <c:pt idx="3">
                  <c:v>442.80146268190157</c:v>
                </c:pt>
                <c:pt idx="4">
                  <c:v>470.7262065439387</c:v>
                </c:pt>
                <c:pt idx="5">
                  <c:v>535.63445738204439</c:v>
                </c:pt>
                <c:pt idx="6">
                  <c:v>685.62751631905496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DFC-47A1-8C14-B99B8FB6E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015183"/>
        <c:axId val="1"/>
      </c:scatterChart>
      <c:valAx>
        <c:axId val="1238015183"/>
        <c:scaling>
          <c:orientation val="minMax"/>
          <c:max val="500"/>
        </c:scaling>
        <c:delete val="0"/>
        <c:axPos val="b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Período de Retorno (años)</a:t>
                </a:r>
              </a:p>
            </c:rich>
          </c:tx>
          <c:layout>
            <c:manualLayout>
              <c:xMode val="edge"/>
              <c:yMode val="edge"/>
              <c:x val="0.34519225721784774"/>
              <c:y val="0.7562007853923121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50"/>
      </c:valAx>
      <c:valAx>
        <c:axId val="1"/>
        <c:scaling>
          <c:orientation val="minMax"/>
          <c:min val="100"/>
        </c:scaling>
        <c:delete val="0"/>
        <c:axPos val="l"/>
        <c:title>
          <c:tx>
            <c:rich>
              <a:bodyPr/>
              <a:lstStyle/>
              <a:p>
                <a:pPr>
                  <a:defRPr sz="8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/>
                  <a:t>Constante de Regresión d</a:t>
                </a:r>
              </a:p>
            </c:rich>
          </c:tx>
          <c:layout>
            <c:manualLayout>
              <c:xMode val="edge"/>
              <c:yMode val="edge"/>
              <c:x val="3.8461504811898514E-2"/>
              <c:y val="0.1382117746230626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8015183"/>
        <c:crosses val="autoZero"/>
        <c:crossBetween val="midCat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4514785651793525"/>
          <c:y val="0.86685432524729422"/>
          <c:w val="0.52501706036745399"/>
          <c:h val="8.759430618617924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78" r="0.75000000000000078" t="1" header="0" footer="0"/>
    <c:pageSetup paperSize="9"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PE"/>
              <a:t>Curvas IDF de la cuenca</a:t>
            </a:r>
          </a:p>
        </c:rich>
      </c:tx>
      <c:layout>
        <c:manualLayout>
          <c:xMode val="edge"/>
          <c:yMode val="edge"/>
          <c:x val="0.35980660312197815"/>
          <c:y val="8.105372393995131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2823856532103528"/>
          <c:y val="7.8987811306930653E-2"/>
          <c:w val="0.71112549383612533"/>
          <c:h val="0.78056298162729654"/>
        </c:manualLayout>
      </c:layout>
      <c:scatterChart>
        <c:scatterStyle val="smoothMarker"/>
        <c:varyColors val="0"/>
        <c:ser>
          <c:idx val="1"/>
          <c:order val="0"/>
          <c:tx>
            <c:v>T2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Cuenca'!$B$10:$M$10</c:f>
              <c:numCache>
                <c:formatCode>0.00</c:formatCode>
                <c:ptCount val="12"/>
                <c:pt idx="0">
                  <c:v>77.06169493527959</c:v>
                </c:pt>
                <c:pt idx="1">
                  <c:v>53.000300953871175</c:v>
                </c:pt>
                <c:pt idx="2">
                  <c:v>42.578141621664756</c:v>
                </c:pt>
                <c:pt idx="3">
                  <c:v>36.451727457592121</c:v>
                </c:pt>
                <c:pt idx="4">
                  <c:v>32.313605021116601</c:v>
                </c:pt>
                <c:pt idx="5">
                  <c:v>29.283735867736059</c:v>
                </c:pt>
                <c:pt idx="6">
                  <c:v>26.944760007539418</c:v>
                </c:pt>
                <c:pt idx="7">
                  <c:v>25.070205465418667</c:v>
                </c:pt>
                <c:pt idx="8">
                  <c:v>23.525282508736758</c:v>
                </c:pt>
                <c:pt idx="9">
                  <c:v>22.22415160297291</c:v>
                </c:pt>
                <c:pt idx="10">
                  <c:v>21.109239519908584</c:v>
                </c:pt>
                <c:pt idx="11">
                  <c:v>20.140315046887732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F04-48D8-A0A5-DFE432D6628D}"/>
            </c:ext>
          </c:extLst>
        </c:ser>
        <c:ser>
          <c:idx val="0"/>
          <c:order val="1"/>
          <c:tx>
            <c:v>T5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Cuenca'!$B$11:$M$11</c:f>
              <c:numCache>
                <c:formatCode>0.00</c:formatCode>
                <c:ptCount val="12"/>
                <c:pt idx="0">
                  <c:v>98.753156721534964</c:v>
                </c:pt>
                <c:pt idx="1">
                  <c:v>67.918919130728952</c:v>
                </c:pt>
                <c:pt idx="2">
                  <c:v>54.563112010543207</c:v>
                </c:pt>
                <c:pt idx="3">
                  <c:v>46.712223983828906</c:v>
                </c:pt>
                <c:pt idx="4">
                  <c:v>41.409295546485623</c:v>
                </c:pt>
                <c:pt idx="5">
                  <c:v>37.526573480732665</c:v>
                </c:pt>
                <c:pt idx="6">
                  <c:v>34.52921857069758</c:v>
                </c:pt>
                <c:pt idx="7">
                  <c:v>32.127011110342764</c:v>
                </c:pt>
                <c:pt idx="8">
                  <c:v>30.147220515391037</c:v>
                </c:pt>
                <c:pt idx="9">
                  <c:v>28.47984498776939</c:v>
                </c:pt>
                <c:pt idx="10">
                  <c:v>27.05110548545176</c:v>
                </c:pt>
                <c:pt idx="11">
                  <c:v>25.809446443097194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BF04-48D8-A0A5-DFE432D6628D}"/>
            </c:ext>
          </c:extLst>
        </c:ser>
        <c:ser>
          <c:idx val="2"/>
          <c:order val="2"/>
          <c:tx>
            <c:v>T10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Cuenca'!$B$12:$M$12</c:f>
              <c:numCache>
                <c:formatCode>0.00</c:formatCode>
                <c:ptCount val="12"/>
                <c:pt idx="0">
                  <c:v>119.13305945536798</c:v>
                </c:pt>
                <c:pt idx="1">
                  <c:v>81.935493502872333</c:v>
                </c:pt>
                <c:pt idx="2">
                  <c:v>65.823419554591737</c:v>
                </c:pt>
                <c:pt idx="3">
                  <c:v>56.352326770172098</c:v>
                </c:pt>
                <c:pt idx="4">
                  <c:v>49.9550215114146</c:v>
                </c:pt>
                <c:pt idx="5">
                  <c:v>45.271013687620687</c:v>
                </c:pt>
                <c:pt idx="6">
                  <c:v>41.655088156116335</c:v>
                </c:pt>
                <c:pt idx="7">
                  <c:v>38.75713194186023</c:v>
                </c:pt>
                <c:pt idx="8">
                  <c:v>36.368767675970098</c:v>
                </c:pt>
                <c:pt idx="9">
                  <c:v>34.357292251172275</c:v>
                </c:pt>
                <c:pt idx="10">
                  <c:v>32.633700684820639</c:v>
                </c:pt>
                <c:pt idx="11">
                  <c:v>31.135797777947136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BF04-48D8-A0A5-DFE432D6628D}"/>
            </c:ext>
          </c:extLst>
        </c:ser>
        <c:ser>
          <c:idx val="3"/>
          <c:order val="3"/>
          <c:tx>
            <c:v>T25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Cuenca'!$B$13:$M$13</c:f>
              <c:numCache>
                <c:formatCode>0.00</c:formatCode>
                <c:ptCount val="12"/>
                <c:pt idx="0">
                  <c:v>152.66684311826458</c:v>
                </c:pt>
                <c:pt idx="1">
                  <c:v>104.99884070472402</c:v>
                </c:pt>
                <c:pt idx="2">
                  <c:v>84.351511768346242</c:v>
                </c:pt>
                <c:pt idx="3">
                  <c:v>72.214479084994238</c:v>
                </c:pt>
                <c:pt idx="4">
                  <c:v>64.01644906055526</c:v>
                </c:pt>
                <c:pt idx="5">
                  <c:v>58.013978454419501</c:v>
                </c:pt>
                <c:pt idx="6">
                  <c:v>53.38023582773647</c:v>
                </c:pt>
                <c:pt idx="7">
                  <c:v>49.666557787837014</c:v>
                </c:pt>
                <c:pt idx="8">
                  <c:v>46.605912536578941</c:v>
                </c:pt>
                <c:pt idx="9">
                  <c:v>44.028243462035448</c:v>
                </c:pt>
                <c:pt idx="10">
                  <c:v>41.819492302087689</c:v>
                </c:pt>
                <c:pt idx="11">
                  <c:v>39.899957043482814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BF04-48D8-A0A5-DFE432D6628D}"/>
            </c:ext>
          </c:extLst>
        </c:ser>
        <c:ser>
          <c:idx val="4"/>
          <c:order val="4"/>
          <c:tx>
            <c:v>T50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Cuenca'!$B$14:$M$14</c:f>
            </c:numRef>
          </c:yVal>
          <c:smooth val="1"/>
          <c:extLst>
            <c:ext xmlns:c16="http://schemas.microsoft.com/office/drawing/2014/chart" uri="{C3380CC4-5D6E-409C-BE32-E72D297353CC}">
              <c16:uniqueId val="{00000004-BF04-48D8-A0A5-DFE432D6628D}"/>
            </c:ext>
          </c:extLst>
        </c:ser>
        <c:ser>
          <c:idx val="5"/>
          <c:order val="5"/>
          <c:tx>
            <c:v>T100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Cuenca'!$B$15:$M$15</c:f>
            </c:numRef>
          </c:yVal>
          <c:smooth val="1"/>
          <c:extLst>
            <c:ext xmlns:c16="http://schemas.microsoft.com/office/drawing/2014/chart" uri="{C3380CC4-5D6E-409C-BE32-E72D297353CC}">
              <c16:uniqueId val="{00000005-BF04-48D8-A0A5-DFE432D6628D}"/>
            </c:ext>
          </c:extLst>
        </c:ser>
        <c:ser>
          <c:idx val="6"/>
          <c:order val="6"/>
          <c:tx>
            <c:v>T500</c:v>
          </c:tx>
          <c:marker>
            <c:symbol val="none"/>
          </c:marker>
          <c:xVal>
            <c:numRef>
              <c:f>'Curvas IDF Cuenca'!$B$9:$M$9</c:f>
              <c:numCache>
                <c:formatCode>General</c:formatCode>
                <c:ptCount val="12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20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40</c:v>
                </c:pt>
                <c:pt idx="8">
                  <c:v>45</c:v>
                </c:pt>
                <c:pt idx="9">
                  <c:v>50</c:v>
                </c:pt>
                <c:pt idx="10">
                  <c:v>55</c:v>
                </c:pt>
                <c:pt idx="11">
                  <c:v>60</c:v>
                </c:pt>
              </c:numCache>
            </c:numRef>
          </c:xVal>
          <c:yVal>
            <c:numRef>
              <c:f>'Curvas IDF Cuenca'!$B$16:$M$16</c:f>
            </c:numRef>
          </c:yVal>
          <c:smooth val="1"/>
          <c:extLst>
            <c:ext xmlns:c16="http://schemas.microsoft.com/office/drawing/2014/chart" uri="{C3380CC4-5D6E-409C-BE32-E72D297353CC}">
              <c16:uniqueId val="{00000006-BF04-48D8-A0A5-DFE432D662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38009775"/>
        <c:axId val="1"/>
      </c:scatterChart>
      <c:valAx>
        <c:axId val="1238009775"/>
        <c:scaling>
          <c:orientation val="minMax"/>
          <c:max val="60"/>
        </c:scaling>
        <c:delete val="0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 sz="1000" b="1"/>
                  <a:t>TIEMPO DE DURACION (min)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ajorUnit val="5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PE" sz="1000" b="1"/>
                  <a:t>INTENSIDAD (mm/h)</a:t>
                </a:r>
              </a:p>
            </c:rich>
          </c:tx>
          <c:layout>
            <c:manualLayout>
              <c:xMode val="edge"/>
              <c:yMode val="edge"/>
              <c:x val="2.323482843996727E-2"/>
              <c:y val="0.26011001607033674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238009775"/>
        <c:crosses val="autoZero"/>
        <c:crossBetween val="midCat"/>
        <c:majorUnit val="2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8949534592847423"/>
          <c:y val="0.39201276640419946"/>
          <c:w val="0.10532121441024256"/>
          <c:h val="0.2624085669291338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144" r="0.75000000000000144" t="1" header="0" footer="0"/>
    <c:pageSetup orientation="landscape"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image" Target="../media/image13.png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4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9.emf"/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2.emf"/><Relationship Id="rId2" Type="http://schemas.openxmlformats.org/officeDocument/2006/relationships/image" Target="../media/image11.wmf"/><Relationship Id="rId1" Type="http://schemas.openxmlformats.org/officeDocument/2006/relationships/image" Target="../media/image10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3</xdr:row>
          <xdr:rowOff>45720</xdr:rowOff>
        </xdr:from>
        <xdr:to>
          <xdr:col>8</xdr:col>
          <xdr:colOff>723900</xdr:colOff>
          <xdr:row>5</xdr:row>
          <xdr:rowOff>99060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7</xdr:row>
          <xdr:rowOff>22860</xdr:rowOff>
        </xdr:from>
        <xdr:to>
          <xdr:col>8</xdr:col>
          <xdr:colOff>762000</xdr:colOff>
          <xdr:row>10</xdr:row>
          <xdr:rowOff>114300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647700</xdr:colOff>
          <xdr:row>11</xdr:row>
          <xdr:rowOff>60960</xdr:rowOff>
        </xdr:from>
        <xdr:to>
          <xdr:col>8</xdr:col>
          <xdr:colOff>769620</xdr:colOff>
          <xdr:row>13</xdr:row>
          <xdr:rowOff>99060</xdr:rowOff>
        </xdr:to>
        <xdr:sp macro="" textlink="">
          <xdr:nvSpPr>
            <xdr:cNvPr id="2051" name="Object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198120</xdr:colOff>
          <xdr:row>14</xdr:row>
          <xdr:rowOff>182880</xdr:rowOff>
        </xdr:from>
        <xdr:to>
          <xdr:col>9</xdr:col>
          <xdr:colOff>0</xdr:colOff>
          <xdr:row>16</xdr:row>
          <xdr:rowOff>0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678180</xdr:colOff>
          <xdr:row>14</xdr:row>
          <xdr:rowOff>0</xdr:rowOff>
        </xdr:from>
        <xdr:to>
          <xdr:col>16</xdr:col>
          <xdr:colOff>403860</xdr:colOff>
          <xdr:row>17</xdr:row>
          <xdr:rowOff>7620</xdr:rowOff>
        </xdr:to>
        <xdr:sp macro="" textlink="">
          <xdr:nvSpPr>
            <xdr:cNvPr id="2053" name="Object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352425</xdr:colOff>
      <xdr:row>1</xdr:row>
      <xdr:rowOff>123825</xdr:rowOff>
    </xdr:from>
    <xdr:to>
      <xdr:col>2</xdr:col>
      <xdr:colOff>104775</xdr:colOff>
      <xdr:row>4</xdr:row>
      <xdr:rowOff>0</xdr:rowOff>
    </xdr:to>
    <xdr:pic>
      <xdr:nvPicPr>
        <xdr:cNvPr id="4170" name="Imagen 1">
          <a:extLst>
            <a:ext uri="{FF2B5EF4-FFF2-40B4-BE49-F238E27FC236}">
              <a16:creationId xmlns:a16="http://schemas.microsoft.com/office/drawing/2014/main" id="{00000000-0008-0000-0300-00004A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314325"/>
          <a:ext cx="1276350" cy="447675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32</xdr:row>
      <xdr:rowOff>161924</xdr:rowOff>
    </xdr:from>
    <xdr:to>
      <xdr:col>6</xdr:col>
      <xdr:colOff>161925</xdr:colOff>
      <xdr:row>48</xdr:row>
      <xdr:rowOff>114299</xdr:rowOff>
    </xdr:to>
    <xdr:graphicFrame macro="">
      <xdr:nvGraphicFramePr>
        <xdr:cNvPr id="5499" name="Chart 108">
          <a:extLst>
            <a:ext uri="{FF2B5EF4-FFF2-40B4-BE49-F238E27FC236}">
              <a16:creationId xmlns:a16="http://schemas.microsoft.com/office/drawing/2014/main" id="{00000000-0008-0000-0400-00007B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371475</xdr:colOff>
      <xdr:row>82</xdr:row>
      <xdr:rowOff>0</xdr:rowOff>
    </xdr:from>
    <xdr:to>
      <xdr:col>6</xdr:col>
      <xdr:colOff>323850</xdr:colOff>
      <xdr:row>97</xdr:row>
      <xdr:rowOff>66675</xdr:rowOff>
    </xdr:to>
    <xdr:graphicFrame macro="">
      <xdr:nvGraphicFramePr>
        <xdr:cNvPr id="5500" name="Chart 109">
          <a:extLst>
            <a:ext uri="{FF2B5EF4-FFF2-40B4-BE49-F238E27FC236}">
              <a16:creationId xmlns:a16="http://schemas.microsoft.com/office/drawing/2014/main" id="{00000000-0008-0000-0400-00007C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333375</xdr:colOff>
      <xdr:row>129</xdr:row>
      <xdr:rowOff>180975</xdr:rowOff>
    </xdr:from>
    <xdr:to>
      <xdr:col>6</xdr:col>
      <xdr:colOff>323850</xdr:colOff>
      <xdr:row>146</xdr:row>
      <xdr:rowOff>85725</xdr:rowOff>
    </xdr:to>
    <xdr:graphicFrame macro="">
      <xdr:nvGraphicFramePr>
        <xdr:cNvPr id="5501" name="Chart 110">
          <a:extLst>
            <a:ext uri="{FF2B5EF4-FFF2-40B4-BE49-F238E27FC236}">
              <a16:creationId xmlns:a16="http://schemas.microsoft.com/office/drawing/2014/main" id="{00000000-0008-0000-0400-00007D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342900</xdr:colOff>
      <xdr:row>179</xdr:row>
      <xdr:rowOff>114299</xdr:rowOff>
    </xdr:from>
    <xdr:to>
      <xdr:col>6</xdr:col>
      <xdr:colOff>304800</xdr:colOff>
      <xdr:row>195</xdr:row>
      <xdr:rowOff>123825</xdr:rowOff>
    </xdr:to>
    <xdr:graphicFrame macro="">
      <xdr:nvGraphicFramePr>
        <xdr:cNvPr id="5502" name="Chart 111">
          <a:extLst>
            <a:ext uri="{FF2B5EF4-FFF2-40B4-BE49-F238E27FC236}">
              <a16:creationId xmlns:a16="http://schemas.microsoft.com/office/drawing/2014/main" id="{00000000-0008-0000-0400-00007E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485775</xdr:colOff>
      <xdr:row>228</xdr:row>
      <xdr:rowOff>180974</xdr:rowOff>
    </xdr:from>
    <xdr:to>
      <xdr:col>6</xdr:col>
      <xdr:colOff>447675</xdr:colOff>
      <xdr:row>244</xdr:row>
      <xdr:rowOff>95249</xdr:rowOff>
    </xdr:to>
    <xdr:graphicFrame macro="">
      <xdr:nvGraphicFramePr>
        <xdr:cNvPr id="5503" name="Chart 112">
          <a:extLst>
            <a:ext uri="{FF2B5EF4-FFF2-40B4-BE49-F238E27FC236}">
              <a16:creationId xmlns:a16="http://schemas.microsoft.com/office/drawing/2014/main" id="{00000000-0008-0000-0400-00007F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400050</xdr:colOff>
      <xdr:row>277</xdr:row>
      <xdr:rowOff>171449</xdr:rowOff>
    </xdr:from>
    <xdr:to>
      <xdr:col>6</xdr:col>
      <xdr:colOff>381000</xdr:colOff>
      <xdr:row>293</xdr:row>
      <xdr:rowOff>142874</xdr:rowOff>
    </xdr:to>
    <xdr:graphicFrame macro="">
      <xdr:nvGraphicFramePr>
        <xdr:cNvPr id="5504" name="Chart 114">
          <a:extLst>
            <a:ext uri="{FF2B5EF4-FFF2-40B4-BE49-F238E27FC236}">
              <a16:creationId xmlns:a16="http://schemas.microsoft.com/office/drawing/2014/main" id="{00000000-0008-0000-0400-000080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390525</xdr:colOff>
      <xdr:row>326</xdr:row>
      <xdr:rowOff>142875</xdr:rowOff>
    </xdr:from>
    <xdr:to>
      <xdr:col>6</xdr:col>
      <xdr:colOff>352425</xdr:colOff>
      <xdr:row>342</xdr:row>
      <xdr:rowOff>114300</xdr:rowOff>
    </xdr:to>
    <xdr:graphicFrame macro="">
      <xdr:nvGraphicFramePr>
        <xdr:cNvPr id="5505" name="Chart 114">
          <a:extLst>
            <a:ext uri="{FF2B5EF4-FFF2-40B4-BE49-F238E27FC236}">
              <a16:creationId xmlns:a16="http://schemas.microsoft.com/office/drawing/2014/main" id="{00000000-0008-0000-0400-0000811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754380</xdr:colOff>
          <xdr:row>1</xdr:row>
          <xdr:rowOff>45720</xdr:rowOff>
        </xdr:from>
        <xdr:to>
          <xdr:col>3</xdr:col>
          <xdr:colOff>541020</xdr:colOff>
          <xdr:row>4</xdr:row>
          <xdr:rowOff>7620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9</xdr:row>
          <xdr:rowOff>121920</xdr:rowOff>
        </xdr:from>
        <xdr:to>
          <xdr:col>4</xdr:col>
          <xdr:colOff>426720</xdr:colOff>
          <xdr:row>11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746760</xdr:colOff>
          <xdr:row>12</xdr:row>
          <xdr:rowOff>38100</xdr:rowOff>
        </xdr:from>
        <xdr:to>
          <xdr:col>6</xdr:col>
          <xdr:colOff>144780</xdr:colOff>
          <xdr:row>14</xdr:row>
          <xdr:rowOff>175260</xdr:rowOff>
        </xdr:to>
        <xdr:sp macro="" textlink="">
          <xdr:nvSpPr>
            <xdr:cNvPr id="5123" name="Object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4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754380</xdr:colOff>
          <xdr:row>50</xdr:row>
          <xdr:rowOff>45720</xdr:rowOff>
        </xdr:from>
        <xdr:to>
          <xdr:col>3</xdr:col>
          <xdr:colOff>541020</xdr:colOff>
          <xdr:row>53</xdr:row>
          <xdr:rowOff>7620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4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58</xdr:row>
          <xdr:rowOff>121920</xdr:rowOff>
        </xdr:from>
        <xdr:to>
          <xdr:col>4</xdr:col>
          <xdr:colOff>426720</xdr:colOff>
          <xdr:row>60</xdr:row>
          <xdr:rowOff>38100</xdr:rowOff>
        </xdr:to>
        <xdr:sp macro="" textlink="">
          <xdr:nvSpPr>
            <xdr:cNvPr id="5125" name="Object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4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746760</xdr:colOff>
          <xdr:row>61</xdr:row>
          <xdr:rowOff>38100</xdr:rowOff>
        </xdr:from>
        <xdr:to>
          <xdr:col>6</xdr:col>
          <xdr:colOff>144780</xdr:colOff>
          <xdr:row>63</xdr:row>
          <xdr:rowOff>175260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4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754380</xdr:colOff>
          <xdr:row>99</xdr:row>
          <xdr:rowOff>45720</xdr:rowOff>
        </xdr:from>
        <xdr:to>
          <xdr:col>3</xdr:col>
          <xdr:colOff>541020</xdr:colOff>
          <xdr:row>102</xdr:row>
          <xdr:rowOff>7620</xdr:rowOff>
        </xdr:to>
        <xdr:sp macro="" textlink="">
          <xdr:nvSpPr>
            <xdr:cNvPr id="5127" name="Object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4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107</xdr:row>
          <xdr:rowOff>121920</xdr:rowOff>
        </xdr:from>
        <xdr:to>
          <xdr:col>4</xdr:col>
          <xdr:colOff>426720</xdr:colOff>
          <xdr:row>109</xdr:row>
          <xdr:rowOff>38100</xdr:rowOff>
        </xdr:to>
        <xdr:sp macro="" textlink="">
          <xdr:nvSpPr>
            <xdr:cNvPr id="5128" name="Object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4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746760</xdr:colOff>
          <xdr:row>110</xdr:row>
          <xdr:rowOff>38100</xdr:rowOff>
        </xdr:from>
        <xdr:to>
          <xdr:col>6</xdr:col>
          <xdr:colOff>144780</xdr:colOff>
          <xdr:row>112</xdr:row>
          <xdr:rowOff>175260</xdr:rowOff>
        </xdr:to>
        <xdr:sp macro="" textlink="">
          <xdr:nvSpPr>
            <xdr:cNvPr id="5129" name="Object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4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754380</xdr:colOff>
          <xdr:row>148</xdr:row>
          <xdr:rowOff>45720</xdr:rowOff>
        </xdr:from>
        <xdr:to>
          <xdr:col>3</xdr:col>
          <xdr:colOff>541020</xdr:colOff>
          <xdr:row>151</xdr:row>
          <xdr:rowOff>7620</xdr:rowOff>
        </xdr:to>
        <xdr:sp macro="" textlink="">
          <xdr:nvSpPr>
            <xdr:cNvPr id="5130" name="Object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4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156</xdr:row>
          <xdr:rowOff>121920</xdr:rowOff>
        </xdr:from>
        <xdr:to>
          <xdr:col>4</xdr:col>
          <xdr:colOff>426720</xdr:colOff>
          <xdr:row>158</xdr:row>
          <xdr:rowOff>38100</xdr:rowOff>
        </xdr:to>
        <xdr:sp macro="" textlink="">
          <xdr:nvSpPr>
            <xdr:cNvPr id="5131" name="Object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4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746760</xdr:colOff>
          <xdr:row>159</xdr:row>
          <xdr:rowOff>38100</xdr:rowOff>
        </xdr:from>
        <xdr:to>
          <xdr:col>6</xdr:col>
          <xdr:colOff>144780</xdr:colOff>
          <xdr:row>161</xdr:row>
          <xdr:rowOff>175260</xdr:rowOff>
        </xdr:to>
        <xdr:sp macro="" textlink="">
          <xdr:nvSpPr>
            <xdr:cNvPr id="5132" name="Object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4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754380</xdr:colOff>
          <xdr:row>197</xdr:row>
          <xdr:rowOff>45720</xdr:rowOff>
        </xdr:from>
        <xdr:to>
          <xdr:col>3</xdr:col>
          <xdr:colOff>541020</xdr:colOff>
          <xdr:row>200</xdr:row>
          <xdr:rowOff>7620</xdr:rowOff>
        </xdr:to>
        <xdr:sp macro="" textlink="">
          <xdr:nvSpPr>
            <xdr:cNvPr id="5133" name="Object 13" hidden="1">
              <a:extLst>
                <a:ext uri="{63B3BB69-23CF-44E3-9099-C40C66FF867C}">
                  <a14:compatExt spid="_x0000_s5133"/>
                </a:ext>
                <a:ext uri="{FF2B5EF4-FFF2-40B4-BE49-F238E27FC236}">
                  <a16:creationId xmlns:a16="http://schemas.microsoft.com/office/drawing/2014/main" id="{00000000-0008-0000-0400-00000D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205</xdr:row>
          <xdr:rowOff>121920</xdr:rowOff>
        </xdr:from>
        <xdr:to>
          <xdr:col>4</xdr:col>
          <xdr:colOff>426720</xdr:colOff>
          <xdr:row>207</xdr:row>
          <xdr:rowOff>38100</xdr:rowOff>
        </xdr:to>
        <xdr:sp macro="" textlink="">
          <xdr:nvSpPr>
            <xdr:cNvPr id="5134" name="Object 14" hidden="1">
              <a:extLst>
                <a:ext uri="{63B3BB69-23CF-44E3-9099-C40C66FF867C}">
                  <a14:compatExt spid="_x0000_s5134"/>
                </a:ext>
                <a:ext uri="{FF2B5EF4-FFF2-40B4-BE49-F238E27FC236}">
                  <a16:creationId xmlns:a16="http://schemas.microsoft.com/office/drawing/2014/main" id="{00000000-0008-0000-0400-00000E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746760</xdr:colOff>
          <xdr:row>208</xdr:row>
          <xdr:rowOff>38100</xdr:rowOff>
        </xdr:from>
        <xdr:to>
          <xdr:col>6</xdr:col>
          <xdr:colOff>144780</xdr:colOff>
          <xdr:row>210</xdr:row>
          <xdr:rowOff>175260</xdr:rowOff>
        </xdr:to>
        <xdr:sp macro="" textlink="">
          <xdr:nvSpPr>
            <xdr:cNvPr id="5135" name="Object 15" hidden="1">
              <a:extLst>
                <a:ext uri="{63B3BB69-23CF-44E3-9099-C40C66FF867C}">
                  <a14:compatExt spid="_x0000_s5135"/>
                </a:ext>
                <a:ext uri="{FF2B5EF4-FFF2-40B4-BE49-F238E27FC236}">
                  <a16:creationId xmlns:a16="http://schemas.microsoft.com/office/drawing/2014/main" id="{00000000-0008-0000-0400-00000F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754380</xdr:colOff>
          <xdr:row>246</xdr:row>
          <xdr:rowOff>45720</xdr:rowOff>
        </xdr:from>
        <xdr:to>
          <xdr:col>3</xdr:col>
          <xdr:colOff>541020</xdr:colOff>
          <xdr:row>249</xdr:row>
          <xdr:rowOff>7620</xdr:rowOff>
        </xdr:to>
        <xdr:sp macro="" textlink="">
          <xdr:nvSpPr>
            <xdr:cNvPr id="5136" name="Object 16" hidden="1">
              <a:extLst>
                <a:ext uri="{63B3BB69-23CF-44E3-9099-C40C66FF867C}">
                  <a14:compatExt spid="_x0000_s5136"/>
                </a:ext>
                <a:ext uri="{FF2B5EF4-FFF2-40B4-BE49-F238E27FC236}">
                  <a16:creationId xmlns:a16="http://schemas.microsoft.com/office/drawing/2014/main" id="{00000000-0008-0000-0400-000010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254</xdr:row>
          <xdr:rowOff>121920</xdr:rowOff>
        </xdr:from>
        <xdr:to>
          <xdr:col>4</xdr:col>
          <xdr:colOff>426720</xdr:colOff>
          <xdr:row>256</xdr:row>
          <xdr:rowOff>38100</xdr:rowOff>
        </xdr:to>
        <xdr:sp macro="" textlink="">
          <xdr:nvSpPr>
            <xdr:cNvPr id="5137" name="Object 17" hidden="1">
              <a:extLst>
                <a:ext uri="{63B3BB69-23CF-44E3-9099-C40C66FF867C}">
                  <a14:compatExt spid="_x0000_s5137"/>
                </a:ext>
                <a:ext uri="{FF2B5EF4-FFF2-40B4-BE49-F238E27FC236}">
                  <a16:creationId xmlns:a16="http://schemas.microsoft.com/office/drawing/2014/main" id="{00000000-0008-0000-0400-00001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746760</xdr:colOff>
          <xdr:row>257</xdr:row>
          <xdr:rowOff>38100</xdr:rowOff>
        </xdr:from>
        <xdr:to>
          <xdr:col>6</xdr:col>
          <xdr:colOff>144780</xdr:colOff>
          <xdr:row>259</xdr:row>
          <xdr:rowOff>175260</xdr:rowOff>
        </xdr:to>
        <xdr:sp macro="" textlink="">
          <xdr:nvSpPr>
            <xdr:cNvPr id="5138" name="Object 18" hidden="1">
              <a:extLst>
                <a:ext uri="{63B3BB69-23CF-44E3-9099-C40C66FF867C}">
                  <a14:compatExt spid="_x0000_s5138"/>
                </a:ext>
                <a:ext uri="{FF2B5EF4-FFF2-40B4-BE49-F238E27FC236}">
                  <a16:creationId xmlns:a16="http://schemas.microsoft.com/office/drawing/2014/main" id="{00000000-0008-0000-0400-00001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754380</xdr:colOff>
          <xdr:row>295</xdr:row>
          <xdr:rowOff>45720</xdr:rowOff>
        </xdr:from>
        <xdr:to>
          <xdr:col>3</xdr:col>
          <xdr:colOff>541020</xdr:colOff>
          <xdr:row>298</xdr:row>
          <xdr:rowOff>7620</xdr:rowOff>
        </xdr:to>
        <xdr:sp macro="" textlink="">
          <xdr:nvSpPr>
            <xdr:cNvPr id="5139" name="Object 19" hidden="1">
              <a:extLst>
                <a:ext uri="{63B3BB69-23CF-44E3-9099-C40C66FF867C}">
                  <a14:compatExt spid="_x0000_s5139"/>
                </a:ext>
                <a:ext uri="{FF2B5EF4-FFF2-40B4-BE49-F238E27FC236}">
                  <a16:creationId xmlns:a16="http://schemas.microsoft.com/office/drawing/2014/main" id="{00000000-0008-0000-0400-00001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30480</xdr:colOff>
          <xdr:row>303</xdr:row>
          <xdr:rowOff>121920</xdr:rowOff>
        </xdr:from>
        <xdr:to>
          <xdr:col>4</xdr:col>
          <xdr:colOff>426720</xdr:colOff>
          <xdr:row>305</xdr:row>
          <xdr:rowOff>38100</xdr:rowOff>
        </xdr:to>
        <xdr:sp macro="" textlink="">
          <xdr:nvSpPr>
            <xdr:cNvPr id="5140" name="Object 20" hidden="1">
              <a:extLst>
                <a:ext uri="{63B3BB69-23CF-44E3-9099-C40C66FF867C}">
                  <a14:compatExt spid="_x0000_s5140"/>
                </a:ext>
                <a:ext uri="{FF2B5EF4-FFF2-40B4-BE49-F238E27FC236}">
                  <a16:creationId xmlns:a16="http://schemas.microsoft.com/office/drawing/2014/main" id="{00000000-0008-0000-0400-00001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746760</xdr:colOff>
          <xdr:row>306</xdr:row>
          <xdr:rowOff>38100</xdr:rowOff>
        </xdr:from>
        <xdr:to>
          <xdr:col>6</xdr:col>
          <xdr:colOff>144780</xdr:colOff>
          <xdr:row>308</xdr:row>
          <xdr:rowOff>175260</xdr:rowOff>
        </xdr:to>
        <xdr:sp macro="" textlink="">
          <xdr:nvSpPr>
            <xdr:cNvPr id="5141" name="Object 21" hidden="1">
              <a:extLst>
                <a:ext uri="{63B3BB69-23CF-44E3-9099-C40C66FF867C}">
                  <a14:compatExt spid="_x0000_s5141"/>
                </a:ext>
                <a:ext uri="{FF2B5EF4-FFF2-40B4-BE49-F238E27FC236}">
                  <a16:creationId xmlns:a16="http://schemas.microsoft.com/office/drawing/2014/main" id="{00000000-0008-0000-0400-00001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30</xdr:row>
      <xdr:rowOff>142874</xdr:rowOff>
    </xdr:from>
    <xdr:to>
      <xdr:col>6</xdr:col>
      <xdr:colOff>180975</xdr:colOff>
      <xdr:row>49</xdr:row>
      <xdr:rowOff>152400</xdr:rowOff>
    </xdr:to>
    <xdr:graphicFrame macro="">
      <xdr:nvGraphicFramePr>
        <xdr:cNvPr id="20535" name="Chart 115">
          <a:extLst>
            <a:ext uri="{FF2B5EF4-FFF2-40B4-BE49-F238E27FC236}">
              <a16:creationId xmlns:a16="http://schemas.microsoft.com/office/drawing/2014/main" id="{00000000-0008-0000-0500-0000375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175260</xdr:colOff>
          <xdr:row>12</xdr:row>
          <xdr:rowOff>0</xdr:rowOff>
        </xdr:from>
        <xdr:to>
          <xdr:col>7</xdr:col>
          <xdr:colOff>312420</xdr:colOff>
          <xdr:row>12</xdr:row>
          <xdr:rowOff>0</xdr:rowOff>
        </xdr:to>
        <xdr:sp macro="" textlink="">
          <xdr:nvSpPr>
            <xdr:cNvPr id="20481" name="Object 1" hidden="1">
              <a:extLst>
                <a:ext uri="{63B3BB69-23CF-44E3-9099-C40C66FF867C}">
                  <a14:compatExt spid="_x0000_s20481"/>
                </a:ext>
                <a:ext uri="{FF2B5EF4-FFF2-40B4-BE49-F238E27FC236}">
                  <a16:creationId xmlns:a16="http://schemas.microsoft.com/office/drawing/2014/main" id="{00000000-0008-0000-0500-000001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137160</xdr:colOff>
          <xdr:row>12</xdr:row>
          <xdr:rowOff>0</xdr:rowOff>
        </xdr:from>
        <xdr:to>
          <xdr:col>7</xdr:col>
          <xdr:colOff>274320</xdr:colOff>
          <xdr:row>12</xdr:row>
          <xdr:rowOff>0</xdr:rowOff>
        </xdr:to>
        <xdr:sp macro="" textlink="">
          <xdr:nvSpPr>
            <xdr:cNvPr id="20482" name="Object 2" hidden="1">
              <a:extLst>
                <a:ext uri="{63B3BB69-23CF-44E3-9099-C40C66FF867C}">
                  <a14:compatExt spid="_x0000_s20482"/>
                </a:ext>
                <a:ext uri="{FF2B5EF4-FFF2-40B4-BE49-F238E27FC236}">
                  <a16:creationId xmlns:a16="http://schemas.microsoft.com/office/drawing/2014/main" id="{00000000-0008-0000-0500-000002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563880</xdr:colOff>
          <xdr:row>13</xdr:row>
          <xdr:rowOff>0</xdr:rowOff>
        </xdr:from>
        <xdr:to>
          <xdr:col>2</xdr:col>
          <xdr:colOff>99060</xdr:colOff>
          <xdr:row>14</xdr:row>
          <xdr:rowOff>144780</xdr:rowOff>
        </xdr:to>
        <xdr:sp macro="" textlink="">
          <xdr:nvSpPr>
            <xdr:cNvPr id="20483" name="Object 3" hidden="1">
              <a:extLst>
                <a:ext uri="{63B3BB69-23CF-44E3-9099-C40C66FF867C}">
                  <a14:compatExt spid="_x0000_s20483"/>
                </a:ext>
                <a:ext uri="{FF2B5EF4-FFF2-40B4-BE49-F238E27FC236}">
                  <a16:creationId xmlns:a16="http://schemas.microsoft.com/office/drawing/2014/main" id="{00000000-0008-0000-0500-0000035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28575</xdr:colOff>
      <xdr:row>3</xdr:row>
      <xdr:rowOff>9525</xdr:rowOff>
    </xdr:from>
    <xdr:to>
      <xdr:col>6</xdr:col>
      <xdr:colOff>561975</xdr:colOff>
      <xdr:row>3</xdr:row>
      <xdr:rowOff>9525</xdr:rowOff>
    </xdr:to>
    <xdr:sp macro="" textlink="">
      <xdr:nvSpPr>
        <xdr:cNvPr id="38027" name="Line 13">
          <a:extLst>
            <a:ext uri="{FF2B5EF4-FFF2-40B4-BE49-F238E27FC236}">
              <a16:creationId xmlns:a16="http://schemas.microsoft.com/office/drawing/2014/main" id="{00000000-0008-0000-0600-00008B940000}"/>
            </a:ext>
          </a:extLst>
        </xdr:cNvPr>
        <xdr:cNvSpPr>
          <a:spLocks noChangeShapeType="1"/>
        </xdr:cNvSpPr>
      </xdr:nvSpPr>
      <xdr:spPr bwMode="auto">
        <a:xfrm flipV="1">
          <a:off x="3838575" y="981075"/>
          <a:ext cx="2057400" cy="0"/>
        </a:xfrm>
        <a:prstGeom prst="line">
          <a:avLst/>
        </a:prstGeom>
        <a:noFill/>
        <a:ln w="1270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190500</xdr:colOff>
      <xdr:row>16</xdr:row>
      <xdr:rowOff>47625</xdr:rowOff>
    </xdr:from>
    <xdr:to>
      <xdr:col>11</xdr:col>
      <xdr:colOff>533400</xdr:colOff>
      <xdr:row>34</xdr:row>
      <xdr:rowOff>144780</xdr:rowOff>
    </xdr:to>
    <xdr:graphicFrame macro="">
      <xdr:nvGraphicFramePr>
        <xdr:cNvPr id="38028" name="Chart 91">
          <a:extLst>
            <a:ext uri="{FF2B5EF4-FFF2-40B4-BE49-F238E27FC236}">
              <a16:creationId xmlns:a16="http://schemas.microsoft.com/office/drawing/2014/main" id="{00000000-0008-0000-0600-00008C9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238125</xdr:colOff>
      <xdr:row>20</xdr:row>
      <xdr:rowOff>45720</xdr:rowOff>
    </xdr:from>
    <xdr:to>
      <xdr:col>12</xdr:col>
      <xdr:colOff>1905</xdr:colOff>
      <xdr:row>23</xdr:row>
      <xdr:rowOff>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6577965" y="3253740"/>
          <a:ext cx="998220" cy="50292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PE" sz="1100" b="1"/>
            <a:t>TIEMPO</a:t>
          </a:r>
          <a:r>
            <a:rPr lang="es-PE" sz="1100" b="1" baseline="0"/>
            <a:t> DE RETORNO</a:t>
          </a:r>
          <a:endParaRPr lang="es-PE" sz="1100" b="1"/>
        </a:p>
      </xdr:txBody>
    </xdr:sp>
    <xdr:clientData/>
  </xdr:twoCellAnchor>
  <xdr:twoCellAnchor editAs="oneCell">
    <xdr:from>
      <xdr:col>0</xdr:col>
      <xdr:colOff>676275</xdr:colOff>
      <xdr:row>0</xdr:row>
      <xdr:rowOff>161925</xdr:rowOff>
    </xdr:from>
    <xdr:to>
      <xdr:col>2</xdr:col>
      <xdr:colOff>495300</xdr:colOff>
      <xdr:row>5</xdr:row>
      <xdr:rowOff>47625</xdr:rowOff>
    </xdr:to>
    <xdr:pic>
      <xdr:nvPicPr>
        <xdr:cNvPr id="38030" name="Imagen 3">
          <a:extLst>
            <a:ext uri="{FF2B5EF4-FFF2-40B4-BE49-F238E27FC236}">
              <a16:creationId xmlns:a16="http://schemas.microsoft.com/office/drawing/2014/main" id="{00000000-0008-0000-0600-00008E9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161925"/>
          <a:ext cx="1181100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284461</xdr:colOff>
      <xdr:row>28</xdr:row>
      <xdr:rowOff>149649</xdr:rowOff>
    </xdr:from>
    <xdr:to>
      <xdr:col>9</xdr:col>
      <xdr:colOff>602708</xdr:colOff>
      <xdr:row>32</xdr:row>
      <xdr:rowOff>111176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pSpPr/>
      </xdr:nvGrpSpPr>
      <xdr:grpSpPr>
        <a:xfrm>
          <a:off x="1069321" y="4820709"/>
          <a:ext cx="5256007" cy="693047"/>
          <a:chOff x="1125941" y="4868334"/>
          <a:chExt cx="5106096" cy="723527"/>
        </a:xfrm>
      </xdr:grpSpPr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600-000006000000}"/>
              </a:ext>
            </a:extLst>
          </xdr:cNvPr>
          <xdr:cNvCxnSpPr/>
        </xdr:nvCxnSpPr>
        <xdr:spPr>
          <a:xfrm flipH="1" flipV="1">
            <a:off x="6225117" y="4871861"/>
            <a:ext cx="0" cy="72000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1" name="Conector rect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CxnSpPr/>
        </xdr:nvCxnSpPr>
        <xdr:spPr>
          <a:xfrm>
            <a:off x="1125941" y="4868334"/>
            <a:ext cx="5106096" cy="0"/>
          </a:xfrm>
          <a:prstGeom prst="line">
            <a:avLst/>
          </a:prstGeom>
          <a:ln w="1905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37</xdr:row>
      <xdr:rowOff>76200</xdr:rowOff>
    </xdr:from>
    <xdr:to>
      <xdr:col>12</xdr:col>
      <xdr:colOff>561975</xdr:colOff>
      <xdr:row>67</xdr:row>
      <xdr:rowOff>106680</xdr:rowOff>
    </xdr:to>
    <xdr:graphicFrame macro="">
      <xdr:nvGraphicFramePr>
        <xdr:cNvPr id="8" name="Chart 91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600075</xdr:colOff>
      <xdr:row>60</xdr:row>
      <xdr:rowOff>19050</xdr:rowOff>
    </xdr:from>
    <xdr:to>
      <xdr:col>11</xdr:col>
      <xdr:colOff>497325</xdr:colOff>
      <xdr:row>66</xdr:row>
      <xdr:rowOff>64050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/>
      </xdr:nvGrpSpPr>
      <xdr:grpSpPr>
        <a:xfrm>
          <a:off x="600075" y="10542270"/>
          <a:ext cx="6854310" cy="1142280"/>
          <a:chOff x="619125" y="10668000"/>
          <a:chExt cx="6660000" cy="1188000"/>
        </a:xfrm>
      </xdr:grpSpPr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CxnSpPr/>
        </xdr:nvCxnSpPr>
        <xdr:spPr>
          <a:xfrm flipH="1">
            <a:off x="619125" y="10677525"/>
            <a:ext cx="6660000" cy="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13" name="Conector rect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CxnSpPr/>
        </xdr:nvCxnSpPr>
        <xdr:spPr>
          <a:xfrm>
            <a:off x="7277100" y="10668000"/>
            <a:ext cx="0" cy="1188000"/>
          </a:xfrm>
          <a:prstGeom prst="lin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447675</xdr:colOff>
      <xdr:row>1</xdr:row>
      <xdr:rowOff>76200</xdr:rowOff>
    </xdr:from>
    <xdr:to>
      <xdr:col>8</xdr:col>
      <xdr:colOff>611505</xdr:colOff>
      <xdr:row>32</xdr:row>
      <xdr:rowOff>160655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238125"/>
          <a:ext cx="3821430" cy="535178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295274</xdr:colOff>
      <xdr:row>0</xdr:row>
      <xdr:rowOff>71437</xdr:rowOff>
    </xdr:from>
    <xdr:ext cx="1838326" cy="31309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800-000003000000}"/>
                </a:ext>
              </a:extLst>
            </xdr:cNvPr>
            <xdr:cNvSpPr txBox="1"/>
          </xdr:nvSpPr>
          <xdr:spPr>
            <a:xfrm>
              <a:off x="2381249" y="71437"/>
              <a:ext cx="1838326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PE" sz="2000" b="0" i="1">
                        <a:latin typeface="Cambria Math" panose="02040503050406030204" pitchFamily="18" charset="0"/>
                      </a:rPr>
                      <m:t>𝑄</m:t>
                    </m:r>
                    <m:r>
                      <a:rPr lang="es-PE" sz="2000" i="1">
                        <a:latin typeface="Cambria Math" panose="02040503050406030204" pitchFamily="18" charset="0"/>
                      </a:rPr>
                      <m:t>=</m:t>
                    </m:r>
                    <m:r>
                      <a:rPr lang="es-PE" sz="20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PE" sz="2000" b="0" i="1">
                        <a:latin typeface="Cambria Math" panose="02040503050406030204" pitchFamily="18" charset="0"/>
                      </a:rPr>
                      <m:t>𝐶</m:t>
                    </m:r>
                    <m:r>
                      <a:rPr lang="es-PE" sz="20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PE" sz="2000" b="0" i="1">
                        <a:latin typeface="Cambria Math" panose="02040503050406030204" pitchFamily="18" charset="0"/>
                      </a:rPr>
                      <m:t>𝑖</m:t>
                    </m:r>
                    <m:r>
                      <a:rPr lang="es-PE" sz="2000" b="0" i="1">
                        <a:latin typeface="Cambria Math" panose="02040503050406030204" pitchFamily="18" charset="0"/>
                      </a:rPr>
                      <m:t>.</m:t>
                    </m:r>
                    <m:r>
                      <a:rPr lang="es-PE" sz="2000" b="0" i="1">
                        <a:latin typeface="Cambria Math" panose="02040503050406030204" pitchFamily="18" charset="0"/>
                      </a:rPr>
                      <m:t>𝐴</m:t>
                    </m:r>
                  </m:oMath>
                </m:oMathPara>
              </a14:m>
              <a:endParaRPr lang="es-PE" sz="20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DAAC2AB0-7744-4C77-8CF2-133367DFA391}"/>
                </a:ext>
              </a:extLst>
            </xdr:cNvPr>
            <xdr:cNvSpPr txBox="1"/>
          </xdr:nvSpPr>
          <xdr:spPr>
            <a:xfrm>
              <a:off x="2381249" y="71437"/>
              <a:ext cx="1838326" cy="31309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0" tIns="0" rIns="0" bIns="0" rtlCol="0" anchor="t">
              <a:spAutoFit/>
            </a:bodyPr>
            <a:lstStyle/>
            <a:p>
              <a:pPr/>
              <a:r>
                <a:rPr lang="es-PE" sz="2000" b="0" i="0">
                  <a:latin typeface="Cambria Math" panose="02040503050406030204" pitchFamily="18" charset="0"/>
                </a:rPr>
                <a:t>𝑄</a:t>
              </a:r>
              <a:r>
                <a:rPr lang="es-PE" sz="2000" i="0">
                  <a:latin typeface="Cambria Math" panose="02040503050406030204" pitchFamily="18" charset="0"/>
                </a:rPr>
                <a:t>=</a:t>
              </a:r>
              <a:r>
                <a:rPr lang="es-PE" sz="2000" b="0" i="0">
                  <a:latin typeface="Cambria Math" panose="02040503050406030204" pitchFamily="18" charset="0"/>
                </a:rPr>
                <a:t> 𝐶.𝑖.𝐴</a:t>
              </a:r>
              <a:endParaRPr lang="es-PE" sz="20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13" Type="http://schemas.openxmlformats.org/officeDocument/2006/relationships/image" Target="../media/image5.emf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12" Type="http://schemas.openxmlformats.org/officeDocument/2006/relationships/oleObject" Target="../embeddings/oleObject5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11" Type="http://schemas.openxmlformats.org/officeDocument/2006/relationships/image" Target="../media/image4.emf"/><Relationship Id="rId5" Type="http://schemas.openxmlformats.org/officeDocument/2006/relationships/image" Target="../media/image1.emf"/><Relationship Id="rId10" Type="http://schemas.openxmlformats.org/officeDocument/2006/relationships/oleObject" Target="../embeddings/oleObject4.bin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8.bin"/><Relationship Id="rId13" Type="http://schemas.openxmlformats.org/officeDocument/2006/relationships/oleObject" Target="../embeddings/oleObject12.bin"/><Relationship Id="rId18" Type="http://schemas.openxmlformats.org/officeDocument/2006/relationships/oleObject" Target="../embeddings/oleObject17.bin"/><Relationship Id="rId26" Type="http://schemas.openxmlformats.org/officeDocument/2006/relationships/oleObject" Target="../embeddings/oleObject25.bin"/><Relationship Id="rId3" Type="http://schemas.openxmlformats.org/officeDocument/2006/relationships/vmlDrawing" Target="../drawings/vmlDrawing2.vml"/><Relationship Id="rId21" Type="http://schemas.openxmlformats.org/officeDocument/2006/relationships/oleObject" Target="../embeddings/oleObject20.bin"/><Relationship Id="rId7" Type="http://schemas.openxmlformats.org/officeDocument/2006/relationships/image" Target="../media/image8.emf"/><Relationship Id="rId12" Type="http://schemas.openxmlformats.org/officeDocument/2006/relationships/oleObject" Target="../embeddings/oleObject11.bin"/><Relationship Id="rId17" Type="http://schemas.openxmlformats.org/officeDocument/2006/relationships/oleObject" Target="../embeddings/oleObject16.bin"/><Relationship Id="rId25" Type="http://schemas.openxmlformats.org/officeDocument/2006/relationships/oleObject" Target="../embeddings/oleObject24.bin"/><Relationship Id="rId2" Type="http://schemas.openxmlformats.org/officeDocument/2006/relationships/drawing" Target="../drawings/drawing3.xml"/><Relationship Id="rId16" Type="http://schemas.openxmlformats.org/officeDocument/2006/relationships/oleObject" Target="../embeddings/oleObject15.bin"/><Relationship Id="rId20" Type="http://schemas.openxmlformats.org/officeDocument/2006/relationships/oleObject" Target="../embeddings/oleObject19.bin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7.bin"/><Relationship Id="rId11" Type="http://schemas.openxmlformats.org/officeDocument/2006/relationships/oleObject" Target="../embeddings/oleObject10.bin"/><Relationship Id="rId24" Type="http://schemas.openxmlformats.org/officeDocument/2006/relationships/oleObject" Target="../embeddings/oleObject23.bin"/><Relationship Id="rId5" Type="http://schemas.openxmlformats.org/officeDocument/2006/relationships/image" Target="../media/image7.emf"/><Relationship Id="rId15" Type="http://schemas.openxmlformats.org/officeDocument/2006/relationships/oleObject" Target="../embeddings/oleObject14.bin"/><Relationship Id="rId23" Type="http://schemas.openxmlformats.org/officeDocument/2006/relationships/oleObject" Target="../embeddings/oleObject22.bin"/><Relationship Id="rId10" Type="http://schemas.openxmlformats.org/officeDocument/2006/relationships/oleObject" Target="../embeddings/oleObject9.bin"/><Relationship Id="rId19" Type="http://schemas.openxmlformats.org/officeDocument/2006/relationships/oleObject" Target="../embeddings/oleObject18.bin"/><Relationship Id="rId4" Type="http://schemas.openxmlformats.org/officeDocument/2006/relationships/oleObject" Target="../embeddings/oleObject6.bin"/><Relationship Id="rId9" Type="http://schemas.openxmlformats.org/officeDocument/2006/relationships/image" Target="../media/image9.emf"/><Relationship Id="rId14" Type="http://schemas.openxmlformats.org/officeDocument/2006/relationships/oleObject" Target="../embeddings/oleObject13.bin"/><Relationship Id="rId22" Type="http://schemas.openxmlformats.org/officeDocument/2006/relationships/oleObject" Target="../embeddings/oleObject21.bin"/><Relationship Id="rId27" Type="http://schemas.openxmlformats.org/officeDocument/2006/relationships/oleObject" Target="../embeddings/oleObject2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29.bin"/><Relationship Id="rId3" Type="http://schemas.openxmlformats.org/officeDocument/2006/relationships/vmlDrawing" Target="../drawings/vmlDrawing3.vml"/><Relationship Id="rId7" Type="http://schemas.openxmlformats.org/officeDocument/2006/relationships/image" Target="../media/image11.w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Relationship Id="rId6" Type="http://schemas.openxmlformats.org/officeDocument/2006/relationships/oleObject" Target="../embeddings/oleObject28.bin"/><Relationship Id="rId5" Type="http://schemas.openxmlformats.org/officeDocument/2006/relationships/image" Target="../media/image10.wmf"/><Relationship Id="rId4" Type="http://schemas.openxmlformats.org/officeDocument/2006/relationships/oleObject" Target="../embeddings/oleObject27.bin"/><Relationship Id="rId9" Type="http://schemas.openxmlformats.org/officeDocument/2006/relationships/image" Target="../media/image12.emf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2:N45"/>
  <sheetViews>
    <sheetView view="pageBreakPreview" topLeftCell="A13" zoomScaleNormal="100" zoomScaleSheetLayoutView="100" workbookViewId="0">
      <selection activeCell="H20" sqref="H20"/>
    </sheetView>
  </sheetViews>
  <sheetFormatPr baseColWidth="10" defaultColWidth="11.44140625" defaultRowHeight="13.2" x14ac:dyDescent="0.25"/>
  <cols>
    <col min="1" max="1" width="5.5546875" style="323" customWidth="1"/>
    <col min="2" max="13" width="6.6640625" style="323" customWidth="1"/>
    <col min="14" max="14" width="9" style="323" bestFit="1" customWidth="1"/>
    <col min="15" max="16384" width="11.44140625" style="323"/>
  </cols>
  <sheetData>
    <row r="2" spans="1:14" x14ac:dyDescent="0.25">
      <c r="A2" s="322" t="s">
        <v>36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</row>
    <row r="3" spans="1:14" x14ac:dyDescent="0.25">
      <c r="A3" s="324"/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</row>
    <row r="4" spans="1:14" x14ac:dyDescent="0.25">
      <c r="A4" s="325" t="s">
        <v>120</v>
      </c>
      <c r="B4" s="326" t="s">
        <v>122</v>
      </c>
      <c r="C4" s="326"/>
      <c r="D4" s="326"/>
      <c r="E4" s="326"/>
      <c r="F4" s="326"/>
      <c r="G4" s="326"/>
      <c r="H4" s="326"/>
      <c r="I4" s="326"/>
      <c r="J4" s="326"/>
      <c r="K4" s="326"/>
      <c r="L4" s="326"/>
      <c r="M4" s="326"/>
      <c r="N4" s="327" t="s">
        <v>123</v>
      </c>
    </row>
    <row r="5" spans="1:14" x14ac:dyDescent="0.25">
      <c r="A5" s="325"/>
      <c r="B5" s="328" t="s">
        <v>108</v>
      </c>
      <c r="C5" s="328" t="s">
        <v>109</v>
      </c>
      <c r="D5" s="328" t="s">
        <v>110</v>
      </c>
      <c r="E5" s="328" t="s">
        <v>111</v>
      </c>
      <c r="F5" s="328" t="s">
        <v>112</v>
      </c>
      <c r="G5" s="328" t="s">
        <v>113</v>
      </c>
      <c r="H5" s="328" t="s">
        <v>114</v>
      </c>
      <c r="I5" s="328" t="s">
        <v>115</v>
      </c>
      <c r="J5" s="328" t="s">
        <v>116</v>
      </c>
      <c r="K5" s="328" t="s">
        <v>117</v>
      </c>
      <c r="L5" s="328" t="s">
        <v>118</v>
      </c>
      <c r="M5" s="328" t="s">
        <v>119</v>
      </c>
      <c r="N5" s="327"/>
    </row>
    <row r="6" spans="1:14" x14ac:dyDescent="0.25">
      <c r="A6" s="329">
        <v>1983</v>
      </c>
      <c r="B6" s="330">
        <v>131.4</v>
      </c>
      <c r="C6" s="330">
        <v>133.19999999999999</v>
      </c>
      <c r="D6" s="330">
        <v>159.1</v>
      </c>
      <c r="E6" s="330">
        <v>98.6</v>
      </c>
      <c r="F6" s="330">
        <v>160.4</v>
      </c>
      <c r="G6" s="330">
        <v>151.5</v>
      </c>
      <c r="H6" s="331">
        <v>50.9</v>
      </c>
      <c r="I6" s="332">
        <v>0.5</v>
      </c>
      <c r="J6" s="331">
        <v>3.5</v>
      </c>
      <c r="K6" s="332">
        <v>6.5</v>
      </c>
      <c r="L6" s="331">
        <v>0</v>
      </c>
      <c r="M6" s="332">
        <v>15</v>
      </c>
      <c r="N6" s="333">
        <f>MAX(B6:M6)</f>
        <v>160.4</v>
      </c>
    </row>
    <row r="7" spans="1:14" x14ac:dyDescent="0.25">
      <c r="A7" s="334">
        <v>1984</v>
      </c>
      <c r="B7" s="335">
        <v>0</v>
      </c>
      <c r="C7" s="336">
        <v>31.2</v>
      </c>
      <c r="D7" s="337">
        <v>51.8</v>
      </c>
      <c r="E7" s="336">
        <v>8.3000000000000007</v>
      </c>
      <c r="F7" s="337">
        <v>0.5</v>
      </c>
      <c r="G7" s="336">
        <v>0.6</v>
      </c>
      <c r="H7" s="338">
        <v>0</v>
      </c>
      <c r="I7" s="338">
        <v>0</v>
      </c>
      <c r="J7" s="338">
        <v>0</v>
      </c>
      <c r="K7" s="338">
        <v>9.8000000000000007</v>
      </c>
      <c r="L7" s="338">
        <v>1.4</v>
      </c>
      <c r="M7" s="338">
        <v>0</v>
      </c>
      <c r="N7" s="339">
        <f t="shared" ref="N7:N44" si="0">MAX(B7:M7)</f>
        <v>51.8</v>
      </c>
    </row>
    <row r="8" spans="1:14" x14ac:dyDescent="0.25">
      <c r="A8" s="334">
        <v>1985</v>
      </c>
      <c r="B8" s="340">
        <v>4.5</v>
      </c>
      <c r="C8" s="338">
        <v>3.8</v>
      </c>
      <c r="D8" s="341">
        <v>19.899999999999999</v>
      </c>
      <c r="E8" s="338">
        <v>1.9</v>
      </c>
      <c r="F8" s="341">
        <v>8.4</v>
      </c>
      <c r="G8" s="338">
        <v>1.6</v>
      </c>
      <c r="H8" s="341">
        <v>1.1000000000000001</v>
      </c>
      <c r="I8" s="338">
        <v>0</v>
      </c>
      <c r="J8" s="341">
        <v>0</v>
      </c>
      <c r="K8" s="338">
        <v>1.5</v>
      </c>
      <c r="L8" s="341">
        <v>0</v>
      </c>
      <c r="M8" s="338">
        <v>3.5</v>
      </c>
      <c r="N8" s="342">
        <f t="shared" si="0"/>
        <v>19.899999999999999</v>
      </c>
    </row>
    <row r="9" spans="1:14" x14ac:dyDescent="0.25">
      <c r="A9" s="334">
        <v>1986</v>
      </c>
      <c r="B9" s="340">
        <v>28.7</v>
      </c>
      <c r="C9" s="338">
        <v>8.6999999999999993</v>
      </c>
      <c r="D9" s="341">
        <v>1.7</v>
      </c>
      <c r="E9" s="338">
        <v>145.80000000000001</v>
      </c>
      <c r="F9" s="341">
        <v>0.8</v>
      </c>
      <c r="G9" s="338">
        <v>0</v>
      </c>
      <c r="H9" s="341">
        <v>0</v>
      </c>
      <c r="I9" s="338">
        <v>0</v>
      </c>
      <c r="J9" s="341">
        <v>0</v>
      </c>
      <c r="K9" s="338">
        <v>1.3</v>
      </c>
      <c r="L9" s="341">
        <v>0</v>
      </c>
      <c r="M9" s="338">
        <v>2.2000000000000002</v>
      </c>
      <c r="N9" s="342">
        <f t="shared" si="0"/>
        <v>145.80000000000001</v>
      </c>
    </row>
    <row r="10" spans="1:14" x14ac:dyDescent="0.25">
      <c r="A10" s="334">
        <v>1987</v>
      </c>
      <c r="B10" s="340">
        <v>28.8</v>
      </c>
      <c r="C10" s="338">
        <v>92.1</v>
      </c>
      <c r="D10" s="341">
        <v>94.3</v>
      </c>
      <c r="E10" s="338">
        <v>29.5</v>
      </c>
      <c r="F10" s="341">
        <v>3.5</v>
      </c>
      <c r="G10" s="338">
        <v>0</v>
      </c>
      <c r="H10" s="341">
        <v>0</v>
      </c>
      <c r="I10" s="338">
        <v>7</v>
      </c>
      <c r="J10" s="341">
        <v>1.5</v>
      </c>
      <c r="K10" s="338">
        <v>0.5</v>
      </c>
      <c r="L10" s="341">
        <v>0</v>
      </c>
      <c r="M10" s="338">
        <v>0</v>
      </c>
      <c r="N10" s="342">
        <f t="shared" si="0"/>
        <v>94.3</v>
      </c>
    </row>
    <row r="11" spans="1:14" x14ac:dyDescent="0.25">
      <c r="A11" s="334">
        <v>1988</v>
      </c>
      <c r="B11" s="340">
        <v>7.4</v>
      </c>
      <c r="C11" s="338">
        <v>7.5</v>
      </c>
      <c r="D11" s="341">
        <v>0.4</v>
      </c>
      <c r="E11" s="338">
        <v>3.9</v>
      </c>
      <c r="F11" s="341">
        <v>0.2</v>
      </c>
      <c r="G11" s="338">
        <v>0</v>
      </c>
      <c r="H11" s="341">
        <v>0</v>
      </c>
      <c r="I11" s="338">
        <v>0</v>
      </c>
      <c r="J11" s="341">
        <v>0.8</v>
      </c>
      <c r="K11" s="338">
        <v>0.4</v>
      </c>
      <c r="L11" s="341">
        <v>0.8</v>
      </c>
      <c r="M11" s="338">
        <v>0</v>
      </c>
      <c r="N11" s="342">
        <f t="shared" si="0"/>
        <v>7.5</v>
      </c>
    </row>
    <row r="12" spans="1:14" x14ac:dyDescent="0.25">
      <c r="A12" s="334">
        <v>1989</v>
      </c>
      <c r="B12" s="340">
        <v>45.3</v>
      </c>
      <c r="C12" s="338">
        <v>63.5</v>
      </c>
      <c r="D12" s="341">
        <v>19.399999999999999</v>
      </c>
      <c r="E12" s="338">
        <v>15.6</v>
      </c>
      <c r="F12" s="341">
        <v>1.1000000000000001</v>
      </c>
      <c r="G12" s="338">
        <v>0.5</v>
      </c>
      <c r="H12" s="341">
        <v>0</v>
      </c>
      <c r="I12" s="338">
        <v>0</v>
      </c>
      <c r="J12" s="341">
        <v>0</v>
      </c>
      <c r="K12" s="338">
        <v>1.2</v>
      </c>
      <c r="L12" s="341">
        <v>0</v>
      </c>
      <c r="M12" s="338">
        <v>0</v>
      </c>
      <c r="N12" s="342">
        <f t="shared" si="0"/>
        <v>63.5</v>
      </c>
    </row>
    <row r="13" spans="1:14" x14ac:dyDescent="0.25">
      <c r="A13" s="334">
        <v>1990</v>
      </c>
      <c r="B13" s="340">
        <v>2.2000000000000002</v>
      </c>
      <c r="C13" s="338">
        <v>32.6</v>
      </c>
      <c r="D13" s="341">
        <v>3.7</v>
      </c>
      <c r="E13" s="338">
        <v>1.4</v>
      </c>
      <c r="F13" s="341">
        <v>1</v>
      </c>
      <c r="G13" s="338">
        <v>2.2999999999999998</v>
      </c>
      <c r="H13" s="341">
        <v>0</v>
      </c>
      <c r="I13" s="338">
        <v>0</v>
      </c>
      <c r="J13" s="341">
        <v>0</v>
      </c>
      <c r="K13" s="338">
        <v>3.6</v>
      </c>
      <c r="L13" s="341">
        <v>0.7</v>
      </c>
      <c r="M13" s="338">
        <v>0.4</v>
      </c>
      <c r="N13" s="342">
        <f t="shared" si="0"/>
        <v>32.6</v>
      </c>
    </row>
    <row r="14" spans="1:14" x14ac:dyDescent="0.25">
      <c r="A14" s="334">
        <v>1991</v>
      </c>
      <c r="B14" s="340">
        <v>0.4</v>
      </c>
      <c r="C14" s="338">
        <v>17.399999999999999</v>
      </c>
      <c r="D14" s="341">
        <v>19.5</v>
      </c>
      <c r="E14" s="338">
        <v>4.4000000000000004</v>
      </c>
      <c r="F14" s="341">
        <v>26.1</v>
      </c>
      <c r="G14" s="338">
        <v>0.2</v>
      </c>
      <c r="H14" s="341">
        <v>0.3</v>
      </c>
      <c r="I14" s="338">
        <v>0.2</v>
      </c>
      <c r="J14" s="341">
        <v>0.5</v>
      </c>
      <c r="K14" s="338">
        <v>0</v>
      </c>
      <c r="L14" s="341">
        <v>0.6</v>
      </c>
      <c r="M14" s="338">
        <v>3.8</v>
      </c>
      <c r="N14" s="342">
        <f t="shared" si="0"/>
        <v>26.1</v>
      </c>
    </row>
    <row r="15" spans="1:14" x14ac:dyDescent="0.25">
      <c r="A15" s="334">
        <v>1992</v>
      </c>
      <c r="B15" s="340">
        <v>12.1</v>
      </c>
      <c r="C15" s="338">
        <v>99.6</v>
      </c>
      <c r="D15" s="341">
        <v>128</v>
      </c>
      <c r="E15" s="338">
        <v>159.19999999999999</v>
      </c>
      <c r="F15" s="341">
        <v>32.299999999999997</v>
      </c>
      <c r="G15" s="338">
        <v>0</v>
      </c>
      <c r="H15" s="341">
        <v>0</v>
      </c>
      <c r="I15" s="338">
        <v>0.9</v>
      </c>
      <c r="J15" s="341">
        <v>1.8</v>
      </c>
      <c r="K15" s="338">
        <v>0.4</v>
      </c>
      <c r="L15" s="341">
        <v>1.4</v>
      </c>
      <c r="M15" s="338">
        <v>1.1000000000000001</v>
      </c>
      <c r="N15" s="342">
        <f t="shared" si="0"/>
        <v>159.19999999999999</v>
      </c>
    </row>
    <row r="16" spans="1:14" x14ac:dyDescent="0.25">
      <c r="A16" s="334">
        <v>1993</v>
      </c>
      <c r="B16" s="340">
        <v>8.6</v>
      </c>
      <c r="C16" s="338">
        <v>44</v>
      </c>
      <c r="D16" s="341">
        <v>22.8</v>
      </c>
      <c r="E16" s="338">
        <v>19.600000000000001</v>
      </c>
      <c r="F16" s="341">
        <v>22.4</v>
      </c>
      <c r="G16" s="338">
        <v>0</v>
      </c>
      <c r="H16" s="341">
        <v>0.1</v>
      </c>
      <c r="I16" s="338">
        <v>0.3</v>
      </c>
      <c r="J16" s="341">
        <v>0.3</v>
      </c>
      <c r="K16" s="338">
        <v>0.4</v>
      </c>
      <c r="L16" s="341">
        <v>0</v>
      </c>
      <c r="M16" s="338">
        <v>6.8</v>
      </c>
      <c r="N16" s="342">
        <f t="shared" si="0"/>
        <v>44</v>
      </c>
    </row>
    <row r="17" spans="1:14" x14ac:dyDescent="0.25">
      <c r="A17" s="334">
        <v>1994</v>
      </c>
      <c r="B17" s="340">
        <v>54.9</v>
      </c>
      <c r="C17" s="338">
        <v>7.9</v>
      </c>
      <c r="D17" s="341">
        <v>34.4</v>
      </c>
      <c r="E17" s="338">
        <v>9.8000000000000007</v>
      </c>
      <c r="F17" s="341">
        <v>2</v>
      </c>
      <c r="G17" s="338">
        <v>0.1</v>
      </c>
      <c r="H17" s="341">
        <v>0.9</v>
      </c>
      <c r="I17" s="338">
        <v>0.1</v>
      </c>
      <c r="J17" s="341">
        <v>3.4</v>
      </c>
      <c r="K17" s="338">
        <v>0.2</v>
      </c>
      <c r="L17" s="341">
        <v>0</v>
      </c>
      <c r="M17" s="338">
        <v>1.8</v>
      </c>
      <c r="N17" s="342">
        <f t="shared" si="0"/>
        <v>54.9</v>
      </c>
    </row>
    <row r="18" spans="1:14" x14ac:dyDescent="0.25">
      <c r="A18" s="334">
        <v>1995</v>
      </c>
      <c r="B18" s="340">
        <v>18.399999999999999</v>
      </c>
      <c r="C18" s="338">
        <v>54.8</v>
      </c>
      <c r="D18" s="341">
        <v>16.2</v>
      </c>
      <c r="E18" s="338">
        <v>0.1</v>
      </c>
      <c r="F18" s="341">
        <v>4.9000000000000004</v>
      </c>
      <c r="G18" s="338">
        <v>0</v>
      </c>
      <c r="H18" s="341">
        <v>0.1</v>
      </c>
      <c r="I18" s="338">
        <v>0</v>
      </c>
      <c r="J18" s="341">
        <v>0</v>
      </c>
      <c r="K18" s="338">
        <v>0.6</v>
      </c>
      <c r="L18" s="341">
        <v>4.0999999999999996</v>
      </c>
      <c r="M18" s="338">
        <v>0.8</v>
      </c>
      <c r="N18" s="342">
        <f t="shared" si="0"/>
        <v>54.8</v>
      </c>
    </row>
    <row r="19" spans="1:14" x14ac:dyDescent="0.25">
      <c r="A19" s="334">
        <v>1996</v>
      </c>
      <c r="B19" s="340">
        <v>12.8</v>
      </c>
      <c r="C19" s="338">
        <v>16.399999999999999</v>
      </c>
      <c r="D19" s="341">
        <v>4.7</v>
      </c>
      <c r="E19" s="338">
        <v>17.5</v>
      </c>
      <c r="F19" s="341">
        <v>0</v>
      </c>
      <c r="G19" s="338">
        <v>0.3</v>
      </c>
      <c r="H19" s="341">
        <v>0.3</v>
      </c>
      <c r="I19" s="338">
        <v>0.2</v>
      </c>
      <c r="J19" s="341">
        <v>0</v>
      </c>
      <c r="K19" s="338">
        <v>3.8</v>
      </c>
      <c r="L19" s="341">
        <v>0.5</v>
      </c>
      <c r="M19" s="338">
        <v>0</v>
      </c>
      <c r="N19" s="342">
        <f t="shared" si="0"/>
        <v>17.5</v>
      </c>
    </row>
    <row r="20" spans="1:14" x14ac:dyDescent="0.25">
      <c r="A20" s="334">
        <v>1997</v>
      </c>
      <c r="B20" s="340">
        <v>0.5</v>
      </c>
      <c r="C20" s="338">
        <v>19.2</v>
      </c>
      <c r="D20" s="341">
        <v>121.2</v>
      </c>
      <c r="E20" s="338">
        <v>23.8</v>
      </c>
      <c r="F20" s="341">
        <v>9</v>
      </c>
      <c r="G20" s="338">
        <v>2</v>
      </c>
      <c r="H20" s="341">
        <v>13</v>
      </c>
      <c r="I20" s="338">
        <v>0</v>
      </c>
      <c r="J20" s="341">
        <v>0</v>
      </c>
      <c r="K20" s="338">
        <v>3</v>
      </c>
      <c r="L20" s="341">
        <v>63.7</v>
      </c>
      <c r="M20" s="338">
        <v>87.9</v>
      </c>
      <c r="N20" s="342">
        <f t="shared" si="0"/>
        <v>121.2</v>
      </c>
    </row>
    <row r="21" spans="1:14" x14ac:dyDescent="0.25">
      <c r="A21" s="334">
        <v>1998</v>
      </c>
      <c r="B21" s="340">
        <v>87.3</v>
      </c>
      <c r="C21" s="338">
        <v>230</v>
      </c>
      <c r="D21" s="341">
        <v>57</v>
      </c>
      <c r="E21" s="338">
        <v>80</v>
      </c>
      <c r="F21" s="341">
        <v>52.3</v>
      </c>
      <c r="G21" s="338">
        <v>0.4</v>
      </c>
      <c r="H21" s="341">
        <v>1.5</v>
      </c>
      <c r="I21" s="338">
        <v>0</v>
      </c>
      <c r="J21" s="341">
        <v>0</v>
      </c>
      <c r="K21" s="338">
        <v>2</v>
      </c>
      <c r="L21" s="341">
        <v>0</v>
      </c>
      <c r="M21" s="338">
        <v>2.7</v>
      </c>
      <c r="N21" s="342">
        <f t="shared" si="0"/>
        <v>230</v>
      </c>
    </row>
    <row r="22" spans="1:14" x14ac:dyDescent="0.25">
      <c r="A22" s="334">
        <v>1999</v>
      </c>
      <c r="B22" s="340">
        <v>6.5</v>
      </c>
      <c r="C22" s="338">
        <v>17.600000000000001</v>
      </c>
      <c r="D22" s="341">
        <v>155.69999999999999</v>
      </c>
      <c r="E22" s="338">
        <v>37.799999999999997</v>
      </c>
      <c r="F22" s="341">
        <v>43.1</v>
      </c>
      <c r="G22" s="338">
        <v>0.5</v>
      </c>
      <c r="H22" s="341">
        <v>0.8</v>
      </c>
      <c r="I22" s="338">
        <v>0.2</v>
      </c>
      <c r="J22" s="341">
        <v>0.7</v>
      </c>
      <c r="K22" s="338">
        <v>0.4</v>
      </c>
      <c r="L22" s="341">
        <v>0</v>
      </c>
      <c r="M22" s="338">
        <v>1.1000000000000001</v>
      </c>
      <c r="N22" s="342">
        <f t="shared" si="0"/>
        <v>155.69999999999999</v>
      </c>
    </row>
    <row r="23" spans="1:14" x14ac:dyDescent="0.25">
      <c r="A23" s="334">
        <v>2000</v>
      </c>
      <c r="B23" s="340">
        <v>8.1</v>
      </c>
      <c r="C23" s="338">
        <v>15.5</v>
      </c>
      <c r="D23" s="341">
        <v>25.8</v>
      </c>
      <c r="E23" s="338">
        <v>24.3</v>
      </c>
      <c r="F23" s="341">
        <v>13.4</v>
      </c>
      <c r="G23" s="338">
        <v>1.1000000000000001</v>
      </c>
      <c r="H23" s="341">
        <v>0.1</v>
      </c>
      <c r="I23" s="338">
        <v>0.6</v>
      </c>
      <c r="J23" s="341">
        <v>0.2</v>
      </c>
      <c r="K23" s="338">
        <v>0</v>
      </c>
      <c r="L23" s="341">
        <v>0</v>
      </c>
      <c r="M23" s="338">
        <v>1.5</v>
      </c>
      <c r="N23" s="342">
        <f t="shared" si="0"/>
        <v>25.8</v>
      </c>
    </row>
    <row r="24" spans="1:14" x14ac:dyDescent="0.25">
      <c r="A24" s="334">
        <v>2001</v>
      </c>
      <c r="B24" s="340">
        <v>10.7</v>
      </c>
      <c r="C24" s="338">
        <v>32.799999999999997</v>
      </c>
      <c r="D24" s="341">
        <v>35.5</v>
      </c>
      <c r="E24" s="338">
        <v>19</v>
      </c>
      <c r="F24" s="341">
        <v>0.8</v>
      </c>
      <c r="G24" s="338">
        <v>0.3</v>
      </c>
      <c r="H24" s="341">
        <v>0.5</v>
      </c>
      <c r="I24" s="338">
        <v>0</v>
      </c>
      <c r="J24" s="341">
        <v>0.7</v>
      </c>
      <c r="K24" s="338">
        <v>0.1</v>
      </c>
      <c r="L24" s="341">
        <v>2.4</v>
      </c>
      <c r="M24" s="338">
        <v>0.7</v>
      </c>
      <c r="N24" s="342">
        <f t="shared" si="0"/>
        <v>35.5</v>
      </c>
    </row>
    <row r="25" spans="1:14" x14ac:dyDescent="0.25">
      <c r="A25" s="334">
        <v>2002</v>
      </c>
      <c r="B25" s="340">
        <v>0.8</v>
      </c>
      <c r="C25" s="338">
        <v>79.099999999999994</v>
      </c>
      <c r="D25" s="341">
        <v>72.8</v>
      </c>
      <c r="E25" s="338">
        <v>45.9</v>
      </c>
      <c r="F25" s="341">
        <v>0.1</v>
      </c>
      <c r="G25" s="338">
        <v>0.5</v>
      </c>
      <c r="H25" s="341">
        <v>0</v>
      </c>
      <c r="I25" s="338">
        <v>0.8</v>
      </c>
      <c r="J25" s="341">
        <v>0.5</v>
      </c>
      <c r="K25" s="338">
        <v>1.6</v>
      </c>
      <c r="L25" s="341">
        <v>0.3</v>
      </c>
      <c r="M25" s="338">
        <v>4</v>
      </c>
      <c r="N25" s="342">
        <f t="shared" si="0"/>
        <v>79.099999999999994</v>
      </c>
    </row>
    <row r="26" spans="1:14" x14ac:dyDescent="0.25">
      <c r="A26" s="334">
        <v>2003</v>
      </c>
      <c r="B26" s="340">
        <v>12.1</v>
      </c>
      <c r="C26" s="338">
        <v>10</v>
      </c>
      <c r="D26" s="341">
        <v>4.5999999999999996</v>
      </c>
      <c r="E26" s="338">
        <v>3.7</v>
      </c>
      <c r="F26" s="341">
        <v>2.9</v>
      </c>
      <c r="G26" s="338">
        <v>0.9</v>
      </c>
      <c r="H26" s="341">
        <v>1.3</v>
      </c>
      <c r="I26" s="338">
        <v>0.5</v>
      </c>
      <c r="J26" s="341">
        <v>0</v>
      </c>
      <c r="K26" s="338">
        <v>0</v>
      </c>
      <c r="L26" s="341">
        <v>0</v>
      </c>
      <c r="M26" s="338">
        <v>51.3</v>
      </c>
      <c r="N26" s="342">
        <f t="shared" si="0"/>
        <v>51.3</v>
      </c>
    </row>
    <row r="27" spans="1:14" x14ac:dyDescent="0.25">
      <c r="A27" s="334">
        <v>2004</v>
      </c>
      <c r="B27" s="340">
        <v>8.1</v>
      </c>
      <c r="C27" s="338">
        <v>12.4</v>
      </c>
      <c r="D27" s="341">
        <v>7.1</v>
      </c>
      <c r="E27" s="338">
        <v>50</v>
      </c>
      <c r="F27" s="341">
        <v>2.6</v>
      </c>
      <c r="G27" s="338">
        <v>0.3</v>
      </c>
      <c r="H27" s="341">
        <v>0.3</v>
      </c>
      <c r="I27" s="338" t="s">
        <v>121</v>
      </c>
      <c r="J27" s="341">
        <v>0.9</v>
      </c>
      <c r="K27" s="338">
        <v>1.8</v>
      </c>
      <c r="L27" s="341">
        <v>0</v>
      </c>
      <c r="M27" s="338">
        <v>1.5</v>
      </c>
      <c r="N27" s="342">
        <f t="shared" si="0"/>
        <v>50</v>
      </c>
    </row>
    <row r="28" spans="1:14" x14ac:dyDescent="0.25">
      <c r="A28" s="334">
        <v>2005</v>
      </c>
      <c r="B28" s="340">
        <v>2.9</v>
      </c>
      <c r="C28" s="338">
        <v>3.1</v>
      </c>
      <c r="D28" s="341">
        <v>10.9</v>
      </c>
      <c r="E28" s="338">
        <v>15.5</v>
      </c>
      <c r="F28" s="341">
        <v>0</v>
      </c>
      <c r="G28" s="338">
        <v>0</v>
      </c>
      <c r="H28" s="341">
        <v>0</v>
      </c>
      <c r="I28" s="338">
        <v>0.2</v>
      </c>
      <c r="J28" s="341">
        <v>0</v>
      </c>
      <c r="K28" s="338">
        <v>0.3</v>
      </c>
      <c r="L28" s="341">
        <v>0</v>
      </c>
      <c r="M28" s="338">
        <v>5.7</v>
      </c>
      <c r="N28" s="342">
        <f t="shared" si="0"/>
        <v>15.5</v>
      </c>
    </row>
    <row r="29" spans="1:14" x14ac:dyDescent="0.25">
      <c r="A29" s="334">
        <v>2006</v>
      </c>
      <c r="B29" s="340">
        <v>27.2</v>
      </c>
      <c r="C29" s="338">
        <v>88.5</v>
      </c>
      <c r="D29" s="341">
        <v>27.5</v>
      </c>
      <c r="E29" s="338">
        <v>7.5</v>
      </c>
      <c r="F29" s="341">
        <v>1.1000000000000001</v>
      </c>
      <c r="G29" s="338">
        <v>0</v>
      </c>
      <c r="H29" s="341">
        <v>0.5</v>
      </c>
      <c r="I29" s="338">
        <v>1</v>
      </c>
      <c r="J29" s="341">
        <v>0</v>
      </c>
      <c r="K29" s="338">
        <v>0.7</v>
      </c>
      <c r="L29" s="341">
        <v>0.8</v>
      </c>
      <c r="M29" s="338">
        <v>10.1</v>
      </c>
      <c r="N29" s="342">
        <f t="shared" si="0"/>
        <v>88.5</v>
      </c>
    </row>
    <row r="30" spans="1:14" x14ac:dyDescent="0.25">
      <c r="A30" s="334">
        <v>2007</v>
      </c>
      <c r="B30" s="340">
        <v>47</v>
      </c>
      <c r="C30" s="338">
        <v>2</v>
      </c>
      <c r="D30" s="341">
        <v>11.3</v>
      </c>
      <c r="E30" s="338">
        <v>0.9</v>
      </c>
      <c r="F30" s="341">
        <v>0.9</v>
      </c>
      <c r="G30" s="338">
        <v>0.1</v>
      </c>
      <c r="H30" s="341">
        <v>0.2</v>
      </c>
      <c r="I30" s="338">
        <v>0.4</v>
      </c>
      <c r="J30" s="341">
        <v>0</v>
      </c>
      <c r="K30" s="338">
        <v>0.3</v>
      </c>
      <c r="L30" s="341">
        <v>1</v>
      </c>
      <c r="M30" s="338">
        <v>1.6</v>
      </c>
      <c r="N30" s="342">
        <f t="shared" si="0"/>
        <v>47</v>
      </c>
    </row>
    <row r="31" spans="1:14" x14ac:dyDescent="0.25">
      <c r="A31" s="334">
        <v>2008</v>
      </c>
      <c r="B31" s="340">
        <v>71.3</v>
      </c>
      <c r="C31" s="338">
        <v>60.4</v>
      </c>
      <c r="D31" s="341">
        <v>35.299999999999997</v>
      </c>
      <c r="E31" s="338">
        <v>5.9</v>
      </c>
      <c r="F31" s="341">
        <v>0.5</v>
      </c>
      <c r="G31" s="338">
        <v>1.5</v>
      </c>
      <c r="H31" s="341">
        <v>0.2</v>
      </c>
      <c r="I31" s="338">
        <v>0</v>
      </c>
      <c r="J31" s="341">
        <v>0.5</v>
      </c>
      <c r="K31" s="338">
        <v>0.1</v>
      </c>
      <c r="L31" s="341">
        <v>0.1</v>
      </c>
      <c r="M31" s="338">
        <v>0</v>
      </c>
      <c r="N31" s="342">
        <f t="shared" si="0"/>
        <v>71.3</v>
      </c>
    </row>
    <row r="32" spans="1:14" x14ac:dyDescent="0.25">
      <c r="A32" s="334">
        <v>2009</v>
      </c>
      <c r="B32" s="340">
        <v>33.799999999999997</v>
      </c>
      <c r="C32" s="338">
        <v>67</v>
      </c>
      <c r="D32" s="341">
        <v>3.8</v>
      </c>
      <c r="E32" s="338">
        <v>8.8000000000000007</v>
      </c>
      <c r="F32" s="341">
        <v>3.7</v>
      </c>
      <c r="G32" s="338">
        <v>1.2</v>
      </c>
      <c r="H32" s="341">
        <v>0</v>
      </c>
      <c r="I32" s="338">
        <v>0.3</v>
      </c>
      <c r="J32" s="341">
        <v>0.5</v>
      </c>
      <c r="K32" s="338">
        <v>0</v>
      </c>
      <c r="L32" s="341">
        <v>1.7</v>
      </c>
      <c r="M32" s="338">
        <v>1.2</v>
      </c>
      <c r="N32" s="342">
        <f t="shared" si="0"/>
        <v>67</v>
      </c>
    </row>
    <row r="33" spans="1:14" x14ac:dyDescent="0.25">
      <c r="A33" s="334">
        <v>2010</v>
      </c>
      <c r="B33" s="340">
        <v>3.3</v>
      </c>
      <c r="C33" s="338">
        <v>37.200000000000003</v>
      </c>
      <c r="D33" s="341">
        <v>72.3</v>
      </c>
      <c r="E33" s="338">
        <v>36.299999999999997</v>
      </c>
      <c r="F33" s="341">
        <v>0.4</v>
      </c>
      <c r="G33" s="338">
        <v>1.4</v>
      </c>
      <c r="H33" s="341">
        <v>0.2</v>
      </c>
      <c r="I33" s="338">
        <v>0</v>
      </c>
      <c r="J33" s="341">
        <v>0</v>
      </c>
      <c r="K33" s="338">
        <v>0</v>
      </c>
      <c r="L33" s="341">
        <v>1.6</v>
      </c>
      <c r="M33" s="338">
        <v>1.2</v>
      </c>
      <c r="N33" s="342">
        <f t="shared" si="0"/>
        <v>72.3</v>
      </c>
    </row>
    <row r="34" spans="1:14" x14ac:dyDescent="0.25">
      <c r="A34" s="334">
        <v>2011</v>
      </c>
      <c r="B34" s="340">
        <v>10.4</v>
      </c>
      <c r="C34" s="338">
        <v>20</v>
      </c>
      <c r="D34" s="341">
        <v>3.6</v>
      </c>
      <c r="E34" s="338">
        <v>10.199999999999999</v>
      </c>
      <c r="F34" s="341">
        <v>11.8</v>
      </c>
      <c r="G34" s="338">
        <v>0</v>
      </c>
      <c r="H34" s="341">
        <v>6.1</v>
      </c>
      <c r="I34" s="338">
        <v>0</v>
      </c>
      <c r="J34" s="341">
        <v>0</v>
      </c>
      <c r="K34" s="338">
        <v>0</v>
      </c>
      <c r="L34" s="341">
        <v>0.1</v>
      </c>
      <c r="M34" s="338">
        <v>0.5</v>
      </c>
      <c r="N34" s="342">
        <f t="shared" si="0"/>
        <v>20</v>
      </c>
    </row>
    <row r="35" spans="1:14" x14ac:dyDescent="0.25">
      <c r="A35" s="334">
        <v>2012</v>
      </c>
      <c r="B35" s="340">
        <v>27.8</v>
      </c>
      <c r="C35" s="338">
        <v>48.5</v>
      </c>
      <c r="D35" s="341">
        <v>22</v>
      </c>
      <c r="E35" s="338">
        <v>35.200000000000003</v>
      </c>
      <c r="F35" s="341">
        <v>1.4</v>
      </c>
      <c r="G35" s="338">
        <v>0</v>
      </c>
      <c r="H35" s="341">
        <v>0.4</v>
      </c>
      <c r="I35" s="338">
        <v>0</v>
      </c>
      <c r="J35" s="341">
        <v>0</v>
      </c>
      <c r="K35" s="338">
        <v>1.8</v>
      </c>
      <c r="L35" s="341">
        <v>1.3</v>
      </c>
      <c r="M35" s="338">
        <v>1</v>
      </c>
      <c r="N35" s="342">
        <f t="shared" si="0"/>
        <v>48.5</v>
      </c>
    </row>
    <row r="36" spans="1:14" x14ac:dyDescent="0.25">
      <c r="A36" s="334">
        <v>2013</v>
      </c>
      <c r="B36" s="340">
        <v>7.1</v>
      </c>
      <c r="C36" s="338">
        <v>15.6</v>
      </c>
      <c r="D36" s="341">
        <v>30.9</v>
      </c>
      <c r="E36" s="338">
        <v>14</v>
      </c>
      <c r="F36" s="341">
        <v>1.2</v>
      </c>
      <c r="G36" s="338">
        <v>1.2</v>
      </c>
      <c r="H36" s="341">
        <v>0.3</v>
      </c>
      <c r="I36" s="338">
        <v>0</v>
      </c>
      <c r="J36" s="341">
        <v>0</v>
      </c>
      <c r="K36" s="338">
        <v>3</v>
      </c>
      <c r="L36" s="341">
        <v>0</v>
      </c>
      <c r="M36" s="338">
        <v>0</v>
      </c>
      <c r="N36" s="342">
        <f t="shared" si="0"/>
        <v>30.9</v>
      </c>
    </row>
    <row r="37" spans="1:14" x14ac:dyDescent="0.25">
      <c r="A37" s="334">
        <v>2014</v>
      </c>
      <c r="B37" s="340">
        <v>24.3</v>
      </c>
      <c r="C37" s="338">
        <v>7</v>
      </c>
      <c r="D37" s="341">
        <v>0.9</v>
      </c>
      <c r="E37" s="338">
        <v>1.8</v>
      </c>
      <c r="F37" s="341">
        <v>29.9</v>
      </c>
      <c r="G37" s="338">
        <v>5.9</v>
      </c>
      <c r="H37" s="341">
        <v>0</v>
      </c>
      <c r="I37" s="338">
        <v>0</v>
      </c>
      <c r="J37" s="341">
        <v>0</v>
      </c>
      <c r="K37" s="338">
        <v>2.2000000000000002</v>
      </c>
      <c r="L37" s="341">
        <v>0</v>
      </c>
      <c r="M37" s="338">
        <v>1.8</v>
      </c>
      <c r="N37" s="342">
        <f t="shared" si="0"/>
        <v>29.9</v>
      </c>
    </row>
    <row r="38" spans="1:14" x14ac:dyDescent="0.25">
      <c r="A38" s="334">
        <v>2015</v>
      </c>
      <c r="B38" s="340">
        <v>4.8</v>
      </c>
      <c r="C38" s="338">
        <v>19.3</v>
      </c>
      <c r="D38" s="341">
        <v>78.599999999999994</v>
      </c>
      <c r="E38" s="338">
        <v>9.4</v>
      </c>
      <c r="F38" s="341">
        <v>25.5</v>
      </c>
      <c r="G38" s="338">
        <v>1.2</v>
      </c>
      <c r="H38" s="341">
        <v>0</v>
      </c>
      <c r="I38" s="338">
        <v>0</v>
      </c>
      <c r="J38" s="341">
        <v>0.3</v>
      </c>
      <c r="K38" s="338">
        <v>5.2</v>
      </c>
      <c r="L38" s="341">
        <v>0.8</v>
      </c>
      <c r="M38" s="338">
        <v>3</v>
      </c>
      <c r="N38" s="342">
        <f t="shared" si="0"/>
        <v>78.599999999999994</v>
      </c>
    </row>
    <row r="39" spans="1:14" x14ac:dyDescent="0.25">
      <c r="A39" s="334">
        <v>2016</v>
      </c>
      <c r="B39" s="340">
        <v>6</v>
      </c>
      <c r="C39" s="338">
        <v>87.2</v>
      </c>
      <c r="D39" s="341">
        <v>90.7</v>
      </c>
      <c r="E39" s="338">
        <v>28.4</v>
      </c>
      <c r="F39" s="341">
        <v>0.1</v>
      </c>
      <c r="G39" s="338">
        <v>1.2</v>
      </c>
      <c r="H39" s="341">
        <v>0</v>
      </c>
      <c r="I39" s="338">
        <v>0.4</v>
      </c>
      <c r="J39" s="341">
        <v>1.1000000000000001</v>
      </c>
      <c r="K39" s="338">
        <v>0</v>
      </c>
      <c r="L39" s="341">
        <v>0</v>
      </c>
      <c r="M39" s="338">
        <v>4.9000000000000004</v>
      </c>
      <c r="N39" s="342">
        <f t="shared" si="0"/>
        <v>90.7</v>
      </c>
    </row>
    <row r="40" spans="1:14" x14ac:dyDescent="0.25">
      <c r="A40" s="334">
        <v>2017</v>
      </c>
      <c r="B40" s="340">
        <v>85.6</v>
      </c>
      <c r="C40" s="338">
        <v>51.4</v>
      </c>
      <c r="D40" s="341">
        <v>103.4</v>
      </c>
      <c r="E40" s="338">
        <v>15.7</v>
      </c>
      <c r="F40" s="341">
        <v>20</v>
      </c>
      <c r="G40" s="338">
        <v>0.2</v>
      </c>
      <c r="H40" s="341">
        <v>0</v>
      </c>
      <c r="I40" s="338">
        <v>0.2</v>
      </c>
      <c r="J40" s="341">
        <v>0.8</v>
      </c>
      <c r="K40" s="338">
        <v>1.7</v>
      </c>
      <c r="L40" s="341">
        <v>0.1</v>
      </c>
      <c r="M40" s="338">
        <v>0.4</v>
      </c>
      <c r="N40" s="342">
        <f t="shared" si="0"/>
        <v>103.4</v>
      </c>
    </row>
    <row r="41" spans="1:14" x14ac:dyDescent="0.25">
      <c r="A41" s="334">
        <v>2018</v>
      </c>
      <c r="B41" s="340">
        <v>4.3</v>
      </c>
      <c r="C41" s="338">
        <v>10.199999999999999</v>
      </c>
      <c r="D41" s="341">
        <v>4.4000000000000004</v>
      </c>
      <c r="E41" s="338">
        <v>0.2</v>
      </c>
      <c r="F41" s="341">
        <v>16.899999999999999</v>
      </c>
      <c r="G41" s="338">
        <v>0</v>
      </c>
      <c r="H41" s="341">
        <v>0</v>
      </c>
      <c r="I41" s="338">
        <v>0.2</v>
      </c>
      <c r="J41" s="341">
        <v>0</v>
      </c>
      <c r="K41" s="338">
        <v>0.3</v>
      </c>
      <c r="L41" s="341">
        <v>0.5</v>
      </c>
      <c r="M41" s="338">
        <v>16.7</v>
      </c>
      <c r="N41" s="342">
        <f t="shared" si="0"/>
        <v>16.899999999999999</v>
      </c>
    </row>
    <row r="42" spans="1:14" x14ac:dyDescent="0.25">
      <c r="A42" s="334">
        <v>2019</v>
      </c>
      <c r="B42" s="340">
        <v>44</v>
      </c>
      <c r="C42" s="338">
        <v>29.3</v>
      </c>
      <c r="D42" s="341">
        <v>12.1</v>
      </c>
      <c r="E42" s="338">
        <v>8.8000000000000007</v>
      </c>
      <c r="F42" s="341">
        <v>0.3</v>
      </c>
      <c r="G42" s="338">
        <v>0.1</v>
      </c>
      <c r="H42" s="341">
        <v>0.2</v>
      </c>
      <c r="I42" s="338">
        <v>0.7</v>
      </c>
      <c r="J42" s="341">
        <v>0</v>
      </c>
      <c r="K42" s="338">
        <v>0.6</v>
      </c>
      <c r="L42" s="341">
        <v>0.3</v>
      </c>
      <c r="M42" s="338">
        <v>18.7</v>
      </c>
      <c r="N42" s="342">
        <f t="shared" si="0"/>
        <v>44</v>
      </c>
    </row>
    <row r="43" spans="1:14" x14ac:dyDescent="0.25">
      <c r="A43" s="334">
        <v>2020</v>
      </c>
      <c r="B43" s="340">
        <v>33.799999999999997</v>
      </c>
      <c r="C43" s="338">
        <v>49.3</v>
      </c>
      <c r="D43" s="341">
        <v>24.3</v>
      </c>
      <c r="E43" s="338">
        <v>1.9</v>
      </c>
      <c r="F43" s="341">
        <v>0.5</v>
      </c>
      <c r="G43" s="338">
        <v>0.9</v>
      </c>
      <c r="H43" s="341">
        <v>1.4</v>
      </c>
      <c r="I43" s="338">
        <v>0.2</v>
      </c>
      <c r="J43" s="341">
        <v>0.2</v>
      </c>
      <c r="K43" s="338">
        <v>0</v>
      </c>
      <c r="L43" s="341">
        <v>4.9000000000000004</v>
      </c>
      <c r="M43" s="338">
        <v>4.9000000000000004</v>
      </c>
      <c r="N43" s="342">
        <f t="shared" si="0"/>
        <v>49.3</v>
      </c>
    </row>
    <row r="44" spans="1:14" x14ac:dyDescent="0.25">
      <c r="A44" s="343">
        <v>2021</v>
      </c>
      <c r="B44" s="344">
        <v>43.6</v>
      </c>
      <c r="C44" s="345">
        <v>7.2</v>
      </c>
      <c r="D44" s="346"/>
      <c r="E44" s="345"/>
      <c r="F44" s="346"/>
      <c r="G44" s="345"/>
      <c r="H44" s="346"/>
      <c r="I44" s="345"/>
      <c r="J44" s="346"/>
      <c r="K44" s="345"/>
      <c r="L44" s="346"/>
      <c r="M44" s="345"/>
      <c r="N44" s="347">
        <f t="shared" si="0"/>
        <v>43.6</v>
      </c>
    </row>
    <row r="45" spans="1:14" x14ac:dyDescent="0.25">
      <c r="A45" s="348" t="s">
        <v>1</v>
      </c>
      <c r="B45" s="349">
        <f t="shared" ref="B45:L45" si="1">MAX(B6:B44)</f>
        <v>131.4</v>
      </c>
      <c r="C45" s="349">
        <f t="shared" si="1"/>
        <v>230</v>
      </c>
      <c r="D45" s="349">
        <f t="shared" si="1"/>
        <v>159.1</v>
      </c>
      <c r="E45" s="349">
        <f t="shared" si="1"/>
        <v>159.19999999999999</v>
      </c>
      <c r="F45" s="349">
        <f t="shared" si="1"/>
        <v>160.4</v>
      </c>
      <c r="G45" s="349">
        <f t="shared" si="1"/>
        <v>151.5</v>
      </c>
      <c r="H45" s="349">
        <f t="shared" si="1"/>
        <v>50.9</v>
      </c>
      <c r="I45" s="349">
        <f t="shared" si="1"/>
        <v>7</v>
      </c>
      <c r="J45" s="349">
        <f t="shared" si="1"/>
        <v>3.5</v>
      </c>
      <c r="K45" s="349">
        <f t="shared" si="1"/>
        <v>9.8000000000000007</v>
      </c>
      <c r="L45" s="349">
        <f t="shared" si="1"/>
        <v>63.7</v>
      </c>
      <c r="M45" s="349">
        <f>MAX(M6:M44)</f>
        <v>87.9</v>
      </c>
      <c r="N45" s="349">
        <f>MAX(N6:N44)</f>
        <v>230</v>
      </c>
    </row>
  </sheetData>
  <mergeCells count="4">
    <mergeCell ref="A2:N2"/>
    <mergeCell ref="B4:M4"/>
    <mergeCell ref="A4:A5"/>
    <mergeCell ref="N4:N5"/>
  </mergeCells>
  <printOptions horizontalCentered="1"/>
  <pageMargins left="0.78740157480314965" right="0.78740157480314965" top="0.78740157480314965" bottom="0.78740157480314965" header="0" footer="0"/>
  <pageSetup paperSize="9" scale="89" orientation="portrait" r:id="rId1"/>
  <ignoredErrors>
    <ignoredError sqref="N6:N44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</sheetPr>
  <dimension ref="A1:R62"/>
  <sheetViews>
    <sheetView view="pageBreakPreview" zoomScaleNormal="100" zoomScaleSheetLayoutView="100" workbookViewId="0">
      <selection activeCell="F15" sqref="F15"/>
    </sheetView>
  </sheetViews>
  <sheetFormatPr baseColWidth="10" defaultColWidth="11.44140625" defaultRowHeight="13.2" x14ac:dyDescent="0.25"/>
  <cols>
    <col min="1" max="5" width="10.88671875" style="113" customWidth="1"/>
    <col min="6" max="6" width="14" style="113" bestFit="1" customWidth="1"/>
    <col min="7" max="8" width="10.88671875" style="113" customWidth="1"/>
    <col min="9" max="9" width="11.6640625" style="113" customWidth="1"/>
    <col min="10" max="10" width="6.88671875" style="113" customWidth="1"/>
    <col min="11" max="11" width="5.6640625" style="113" customWidth="1"/>
    <col min="12" max="12" width="3.33203125" style="113" customWidth="1"/>
    <col min="13" max="15" width="11.5546875" style="113" bestFit="1" customWidth="1"/>
    <col min="16" max="16" width="13.109375" style="113" customWidth="1"/>
    <col min="17" max="17" width="11.5546875" style="113" bestFit="1" customWidth="1"/>
    <col min="18" max="18" width="3.44140625" style="113" customWidth="1"/>
    <col min="19" max="16384" width="11.44140625" style="113"/>
  </cols>
  <sheetData>
    <row r="1" spans="1:18" ht="13.8" thickBot="1" x14ac:dyDescent="0.3">
      <c r="A1" s="112" t="s">
        <v>22</v>
      </c>
    </row>
    <row r="2" spans="1:18" ht="15" customHeight="1" x14ac:dyDescent="0.25">
      <c r="H2" s="265" t="s">
        <v>39</v>
      </c>
      <c r="I2" s="266"/>
      <c r="J2" s="266"/>
      <c r="K2" s="267"/>
      <c r="L2" s="259" t="s">
        <v>38</v>
      </c>
      <c r="M2" s="260"/>
      <c r="N2" s="260"/>
      <c r="O2" s="260"/>
      <c r="P2" s="260"/>
      <c r="Q2" s="260"/>
      <c r="R2" s="261"/>
    </row>
    <row r="3" spans="1:18" ht="15" customHeight="1" thickBot="1" x14ac:dyDescent="0.3">
      <c r="B3" s="271" t="s">
        <v>37</v>
      </c>
      <c r="C3" s="272" t="s">
        <v>0</v>
      </c>
      <c r="D3" s="273" t="s">
        <v>124</v>
      </c>
      <c r="E3" s="272" t="s">
        <v>2</v>
      </c>
      <c r="F3" s="272"/>
      <c r="H3" s="268"/>
      <c r="I3" s="269"/>
      <c r="J3" s="269"/>
      <c r="K3" s="270"/>
      <c r="L3" s="262"/>
      <c r="M3" s="263"/>
      <c r="N3" s="263"/>
      <c r="O3" s="263"/>
      <c r="P3" s="263"/>
      <c r="Q3" s="263"/>
      <c r="R3" s="264"/>
    </row>
    <row r="4" spans="1:18" ht="15" customHeight="1" thickBot="1" x14ac:dyDescent="0.3">
      <c r="B4" s="271"/>
      <c r="C4" s="272"/>
      <c r="D4" s="274"/>
      <c r="E4" s="85" t="s">
        <v>3</v>
      </c>
      <c r="F4" s="80" t="s">
        <v>4</v>
      </c>
      <c r="H4" s="114" t="s">
        <v>125</v>
      </c>
      <c r="I4" s="115"/>
      <c r="J4" s="115"/>
      <c r="K4" s="116"/>
      <c r="L4" s="117"/>
      <c r="M4" s="118"/>
      <c r="N4" s="118"/>
      <c r="O4" s="118"/>
      <c r="P4" s="118"/>
      <c r="Q4" s="118"/>
      <c r="R4" s="119"/>
    </row>
    <row r="5" spans="1:18" ht="15" customHeight="1" x14ac:dyDescent="0.25">
      <c r="B5" s="81">
        <v>1</v>
      </c>
      <c r="C5" s="120">
        <f>'Registros Pluviómetro'!A6</f>
        <v>1983</v>
      </c>
      <c r="D5" s="121">
        <f>'Registros Pluviómetro'!N6</f>
        <v>160.4</v>
      </c>
      <c r="E5" s="122">
        <f>'Registros Pluviómetro'!N6</f>
        <v>160.4</v>
      </c>
      <c r="F5" s="86">
        <f t="shared" ref="F5:F43" si="0">(E5-$J$5)^2</f>
        <v>8794.1113017751486</v>
      </c>
      <c r="H5" s="117"/>
      <c r="I5" s="118"/>
      <c r="J5" s="8">
        <f>$E$44/$B$44</f>
        <v>66.623076923076923</v>
      </c>
      <c r="K5" s="6" t="s">
        <v>6</v>
      </c>
      <c r="L5" s="117"/>
      <c r="M5" s="123" t="s">
        <v>7</v>
      </c>
      <c r="N5" s="124" t="s">
        <v>8</v>
      </c>
      <c r="O5" s="124" t="s">
        <v>9</v>
      </c>
      <c r="P5" s="124" t="s">
        <v>10</v>
      </c>
      <c r="Q5" s="125" t="s">
        <v>11</v>
      </c>
      <c r="R5" s="119"/>
    </row>
    <row r="6" spans="1:18" ht="15" customHeight="1" x14ac:dyDescent="0.25">
      <c r="B6" s="82">
        <f>B5+1</f>
        <v>2</v>
      </c>
      <c r="C6" s="126">
        <f>'Registros Pluviómetro'!A7</f>
        <v>1984</v>
      </c>
      <c r="D6" s="127">
        <f>'Registros Pluviómetro'!N7</f>
        <v>51.8</v>
      </c>
      <c r="E6" s="128">
        <f>'Registros Pluviómetro'!N7</f>
        <v>51.8</v>
      </c>
      <c r="F6" s="87">
        <f t="shared" si="0"/>
        <v>219.7236094674557</v>
      </c>
      <c r="H6" s="129"/>
      <c r="I6" s="130"/>
      <c r="J6" s="130"/>
      <c r="K6" s="131"/>
      <c r="L6" s="117"/>
      <c r="M6" s="132" t="s">
        <v>12</v>
      </c>
      <c r="N6" s="133" t="s">
        <v>13</v>
      </c>
      <c r="O6" s="133" t="s">
        <v>14</v>
      </c>
      <c r="P6" s="133" t="s">
        <v>15</v>
      </c>
      <c r="Q6" s="134" t="s">
        <v>16</v>
      </c>
      <c r="R6" s="119"/>
    </row>
    <row r="7" spans="1:18" ht="15" customHeight="1" thickBot="1" x14ac:dyDescent="0.3">
      <c r="B7" s="82">
        <f t="shared" ref="B7:B43" si="1">B6+1</f>
        <v>3</v>
      </c>
      <c r="C7" s="126">
        <f>'Registros Pluviómetro'!A8</f>
        <v>1985</v>
      </c>
      <c r="D7" s="127">
        <f>'Registros Pluviómetro'!N8</f>
        <v>19.899999999999999</v>
      </c>
      <c r="E7" s="128">
        <f>'Registros Pluviómetro'!N8</f>
        <v>19.899999999999999</v>
      </c>
      <c r="F7" s="87">
        <f t="shared" si="0"/>
        <v>2183.0459171597636</v>
      </c>
      <c r="H7" s="135" t="s">
        <v>126</v>
      </c>
      <c r="I7" s="118"/>
      <c r="J7" s="118"/>
      <c r="K7" s="119"/>
      <c r="L7" s="117"/>
      <c r="M7" s="136" t="s">
        <v>17</v>
      </c>
      <c r="N7" s="137" t="s">
        <v>18</v>
      </c>
      <c r="O7" s="137" t="s">
        <v>19</v>
      </c>
      <c r="P7" s="137" t="s">
        <v>20</v>
      </c>
      <c r="Q7" s="138" t="s">
        <v>21</v>
      </c>
      <c r="R7" s="119"/>
    </row>
    <row r="8" spans="1:18" ht="15" customHeight="1" x14ac:dyDescent="0.25">
      <c r="B8" s="82">
        <f t="shared" si="1"/>
        <v>4</v>
      </c>
      <c r="C8" s="126">
        <f>'Registros Pluviómetro'!A9</f>
        <v>1986</v>
      </c>
      <c r="D8" s="127">
        <f>'Registros Pluviómetro'!N9</f>
        <v>145.80000000000001</v>
      </c>
      <c r="E8" s="128">
        <f>'Registros Pluviómetro'!N9</f>
        <v>145.80000000000001</v>
      </c>
      <c r="F8" s="87">
        <f t="shared" si="0"/>
        <v>6268.9851479289955</v>
      </c>
      <c r="H8" s="117"/>
      <c r="I8" s="118"/>
      <c r="J8" s="118"/>
      <c r="K8" s="119"/>
      <c r="L8" s="117"/>
      <c r="M8" s="9">
        <v>2</v>
      </c>
      <c r="N8" s="12">
        <f t="shared" ref="N8:N14" si="2">-LN(LN(M8/(M8-1)))</f>
        <v>0.36651292058166435</v>
      </c>
      <c r="O8" s="12">
        <f t="shared" ref="O8:O14" si="3">$J$16+($J$13*N8)</f>
        <v>58.550526903402073</v>
      </c>
      <c r="P8" s="12">
        <f t="shared" ref="P8:P14" si="4">EXP(-EXP(-((O8-$J$16)/$J$13)))</f>
        <v>0.5</v>
      </c>
      <c r="Q8" s="15">
        <f t="shared" ref="Q8:Q14" si="5">O8*1.13</f>
        <v>66.162095400844336</v>
      </c>
      <c r="R8" s="119"/>
    </row>
    <row r="9" spans="1:18" ht="15" customHeight="1" x14ac:dyDescent="0.25">
      <c r="B9" s="82">
        <f t="shared" si="1"/>
        <v>5</v>
      </c>
      <c r="C9" s="126">
        <f>'Registros Pluviómetro'!A10</f>
        <v>1987</v>
      </c>
      <c r="D9" s="127">
        <f>'Registros Pluviómetro'!N10</f>
        <v>94.3</v>
      </c>
      <c r="E9" s="128">
        <f>'Registros Pluviómetro'!N10</f>
        <v>94.3</v>
      </c>
      <c r="F9" s="87">
        <f t="shared" si="0"/>
        <v>766.01207100591705</v>
      </c>
      <c r="H9" s="117"/>
      <c r="I9" s="118"/>
      <c r="J9" s="118"/>
      <c r="K9" s="119"/>
      <c r="L9" s="117"/>
      <c r="M9" s="10">
        <v>5</v>
      </c>
      <c r="N9" s="13">
        <f t="shared" si="2"/>
        <v>1.4999399867595156</v>
      </c>
      <c r="O9" s="13">
        <f t="shared" si="3"/>
        <v>101.97818611551105</v>
      </c>
      <c r="P9" s="13">
        <f t="shared" si="4"/>
        <v>0.8</v>
      </c>
      <c r="Q9" s="16">
        <f t="shared" si="5"/>
        <v>115.23535031052748</v>
      </c>
      <c r="R9" s="119"/>
    </row>
    <row r="10" spans="1:18" ht="15" customHeight="1" x14ac:dyDescent="0.25">
      <c r="B10" s="82">
        <f t="shared" si="1"/>
        <v>6</v>
      </c>
      <c r="C10" s="126">
        <f>'Registros Pluviómetro'!A11</f>
        <v>1988</v>
      </c>
      <c r="D10" s="127">
        <f>'Registros Pluviómetro'!N11</f>
        <v>7.5</v>
      </c>
      <c r="E10" s="128">
        <f>'Registros Pluviómetro'!N11</f>
        <v>7.5</v>
      </c>
      <c r="F10" s="87">
        <f t="shared" si="0"/>
        <v>3495.5382248520709</v>
      </c>
      <c r="H10" s="117"/>
      <c r="I10" s="118"/>
      <c r="J10" s="8">
        <f>SQRT($F$44/($B$44-1))</f>
        <v>49.141350695500194</v>
      </c>
      <c r="K10" s="6" t="s">
        <v>6</v>
      </c>
      <c r="L10" s="117"/>
      <c r="M10" s="10">
        <v>10</v>
      </c>
      <c r="N10" s="13">
        <f t="shared" si="2"/>
        <v>2.2503673273124449</v>
      </c>
      <c r="O10" s="13">
        <f t="shared" si="3"/>
        <v>130.73107527923969</v>
      </c>
      <c r="P10" s="13">
        <f t="shared" si="4"/>
        <v>0.9</v>
      </c>
      <c r="Q10" s="16">
        <f t="shared" si="5"/>
        <v>147.72611506554082</v>
      </c>
      <c r="R10" s="119"/>
    </row>
    <row r="11" spans="1:18" ht="15" customHeight="1" x14ac:dyDescent="0.25">
      <c r="B11" s="82">
        <f t="shared" si="1"/>
        <v>7</v>
      </c>
      <c r="C11" s="126">
        <f>'Registros Pluviómetro'!A12</f>
        <v>1989</v>
      </c>
      <c r="D11" s="127">
        <f>'Registros Pluviómetro'!N12</f>
        <v>63.5</v>
      </c>
      <c r="E11" s="128">
        <f>'Registros Pluviómetro'!N12</f>
        <v>63.5</v>
      </c>
      <c r="F11" s="87">
        <f t="shared" si="0"/>
        <v>9.7536094674556182</v>
      </c>
      <c r="H11" s="129"/>
      <c r="I11" s="118"/>
      <c r="J11" s="118"/>
      <c r="K11" s="119"/>
      <c r="L11" s="117"/>
      <c r="M11" s="10">
        <v>25</v>
      </c>
      <c r="N11" s="13">
        <f t="shared" si="2"/>
        <v>3.198534261445384</v>
      </c>
      <c r="O11" s="13">
        <f t="shared" si="3"/>
        <v>167.06042696004226</v>
      </c>
      <c r="P11" s="13">
        <f t="shared" si="4"/>
        <v>0.96</v>
      </c>
      <c r="Q11" s="16">
        <f t="shared" si="5"/>
        <v>188.77828246484773</v>
      </c>
      <c r="R11" s="119"/>
    </row>
    <row r="12" spans="1:18" ht="15" customHeight="1" x14ac:dyDescent="0.25">
      <c r="B12" s="82">
        <f t="shared" si="1"/>
        <v>8</v>
      </c>
      <c r="C12" s="126">
        <f>'Registros Pluviómetro'!A13</f>
        <v>1990</v>
      </c>
      <c r="D12" s="127">
        <f>'Registros Pluviómetro'!N13</f>
        <v>32.6</v>
      </c>
      <c r="E12" s="128">
        <f>'Registros Pluviómetro'!N13</f>
        <v>32.6</v>
      </c>
      <c r="F12" s="87">
        <f t="shared" si="0"/>
        <v>1157.5697633136094</v>
      </c>
      <c r="H12" s="135" t="s">
        <v>127</v>
      </c>
      <c r="I12" s="139"/>
      <c r="J12" s="139"/>
      <c r="K12" s="140"/>
      <c r="L12" s="117"/>
      <c r="M12" s="10">
        <v>50</v>
      </c>
      <c r="N12" s="13">
        <f t="shared" si="2"/>
        <v>3.9019386579358333</v>
      </c>
      <c r="O12" s="13">
        <f t="shared" si="3"/>
        <v>194.01161537845357</v>
      </c>
      <c r="P12" s="13">
        <f t="shared" si="4"/>
        <v>0.98</v>
      </c>
      <c r="Q12" s="16">
        <f t="shared" si="5"/>
        <v>219.23312537765253</v>
      </c>
      <c r="R12" s="119"/>
    </row>
    <row r="13" spans="1:18" ht="15" customHeight="1" x14ac:dyDescent="0.25">
      <c r="B13" s="82">
        <f t="shared" si="1"/>
        <v>9</v>
      </c>
      <c r="C13" s="126">
        <f>'Registros Pluviómetro'!A14</f>
        <v>1991</v>
      </c>
      <c r="D13" s="127">
        <f>'Registros Pluviómetro'!N14</f>
        <v>26.1</v>
      </c>
      <c r="E13" s="128">
        <f>'Registros Pluviómetro'!N14</f>
        <v>26.1</v>
      </c>
      <c r="F13" s="87">
        <f t="shared" si="0"/>
        <v>1642.1197633136094</v>
      </c>
      <c r="H13" s="117"/>
      <c r="I13" s="118"/>
      <c r="J13" s="8">
        <f>(SQRT(6)/PI())*J10</f>
        <v>38.31535394558378</v>
      </c>
      <c r="K13" s="7" t="s">
        <v>6</v>
      </c>
      <c r="L13" s="117"/>
      <c r="M13" s="10">
        <v>100</v>
      </c>
      <c r="N13" s="13">
        <f t="shared" si="2"/>
        <v>4.6001492267765736</v>
      </c>
      <c r="O13" s="13">
        <f t="shared" si="3"/>
        <v>220.76380045213392</v>
      </c>
      <c r="P13" s="13">
        <f t="shared" si="4"/>
        <v>0.99</v>
      </c>
      <c r="Q13" s="16">
        <f t="shared" si="5"/>
        <v>249.4630945109113</v>
      </c>
      <c r="R13" s="119"/>
    </row>
    <row r="14" spans="1:18" ht="15" customHeight="1" thickBot="1" x14ac:dyDescent="0.3">
      <c r="B14" s="82">
        <f t="shared" si="1"/>
        <v>10</v>
      </c>
      <c r="C14" s="126">
        <f>'Registros Pluviómetro'!A15</f>
        <v>1992</v>
      </c>
      <c r="D14" s="127">
        <f>'Registros Pluviómetro'!N15</f>
        <v>159.19999999999999</v>
      </c>
      <c r="E14" s="128">
        <f>'Registros Pluviómetro'!N15</f>
        <v>159.19999999999999</v>
      </c>
      <c r="F14" s="87">
        <f t="shared" si="0"/>
        <v>8570.4866863905299</v>
      </c>
      <c r="H14" s="129"/>
      <c r="I14" s="130"/>
      <c r="J14" s="130"/>
      <c r="K14" s="131"/>
      <c r="L14" s="117"/>
      <c r="M14" s="11">
        <v>500</v>
      </c>
      <c r="N14" s="14">
        <f t="shared" si="2"/>
        <v>6.213607264087516</v>
      </c>
      <c r="O14" s="14">
        <f t="shared" si="3"/>
        <v>282.58401622804962</v>
      </c>
      <c r="P14" s="14">
        <f t="shared" si="4"/>
        <v>0.99800000000000011</v>
      </c>
      <c r="Q14" s="17">
        <f t="shared" si="5"/>
        <v>319.31993833769604</v>
      </c>
      <c r="R14" s="119"/>
    </row>
    <row r="15" spans="1:18" ht="15" customHeight="1" x14ac:dyDescent="0.25">
      <c r="B15" s="82">
        <f t="shared" si="1"/>
        <v>11</v>
      </c>
      <c r="C15" s="126">
        <f>'Registros Pluviómetro'!A16</f>
        <v>1993</v>
      </c>
      <c r="D15" s="127">
        <f>'Registros Pluviómetro'!N16</f>
        <v>44</v>
      </c>
      <c r="E15" s="128">
        <f>'Registros Pluviómetro'!N16</f>
        <v>44</v>
      </c>
      <c r="F15" s="87">
        <f t="shared" si="0"/>
        <v>511.8036094674556</v>
      </c>
      <c r="H15" s="135" t="s">
        <v>128</v>
      </c>
      <c r="I15" s="118"/>
      <c r="J15" s="118"/>
      <c r="K15" s="119"/>
      <c r="L15" s="117"/>
      <c r="M15" s="118"/>
      <c r="N15" s="118"/>
      <c r="O15" s="118"/>
      <c r="P15" s="118"/>
      <c r="Q15" s="118"/>
      <c r="R15" s="119"/>
    </row>
    <row r="16" spans="1:18" ht="15" customHeight="1" x14ac:dyDescent="0.25">
      <c r="B16" s="82">
        <f t="shared" si="1"/>
        <v>12</v>
      </c>
      <c r="C16" s="126">
        <f>'Registros Pluviómetro'!A17</f>
        <v>1994</v>
      </c>
      <c r="D16" s="127">
        <f>'Registros Pluviómetro'!N17</f>
        <v>54.9</v>
      </c>
      <c r="E16" s="128">
        <f>'Registros Pluviómetro'!N17</f>
        <v>54.9</v>
      </c>
      <c r="F16" s="87">
        <f t="shared" si="0"/>
        <v>137.43053254437874</v>
      </c>
      <c r="H16" s="117"/>
      <c r="I16" s="118"/>
      <c r="J16" s="8">
        <f>J5-(0.5772*J13)</f>
        <v>44.507454625685966</v>
      </c>
      <c r="K16" s="6" t="s">
        <v>6</v>
      </c>
      <c r="L16" s="117"/>
      <c r="M16" s="118"/>
      <c r="N16" s="118"/>
      <c r="O16" s="118"/>
      <c r="P16" s="118"/>
      <c r="Q16" s="118"/>
      <c r="R16" s="119"/>
    </row>
    <row r="17" spans="2:18" ht="15" customHeight="1" thickBot="1" x14ac:dyDescent="0.3">
      <c r="B17" s="82">
        <f t="shared" si="1"/>
        <v>13</v>
      </c>
      <c r="C17" s="126">
        <f>'Registros Pluviómetro'!A18</f>
        <v>1995</v>
      </c>
      <c r="D17" s="127">
        <f>'Registros Pluviómetro'!N18</f>
        <v>54.8</v>
      </c>
      <c r="E17" s="128">
        <f>'Registros Pluviómetro'!N18</f>
        <v>54.8</v>
      </c>
      <c r="F17" s="87">
        <f t="shared" si="0"/>
        <v>139.78514792899415</v>
      </c>
      <c r="H17" s="141"/>
      <c r="I17" s="142"/>
      <c r="J17" s="142"/>
      <c r="K17" s="143"/>
      <c r="L17" s="141"/>
      <c r="M17" s="142"/>
      <c r="N17" s="142"/>
      <c r="O17" s="142"/>
      <c r="P17" s="142"/>
      <c r="Q17" s="142"/>
      <c r="R17" s="143"/>
    </row>
    <row r="18" spans="2:18" ht="15" customHeight="1" x14ac:dyDescent="0.25">
      <c r="B18" s="82">
        <f t="shared" si="1"/>
        <v>14</v>
      </c>
      <c r="C18" s="126">
        <f>'Registros Pluviómetro'!A19</f>
        <v>1996</v>
      </c>
      <c r="D18" s="127">
        <f>'Registros Pluviómetro'!N19</f>
        <v>17.5</v>
      </c>
      <c r="E18" s="128">
        <f>'Registros Pluviómetro'!N19</f>
        <v>17.5</v>
      </c>
      <c r="F18" s="87">
        <f t="shared" si="0"/>
        <v>2413.0766863905324</v>
      </c>
    </row>
    <row r="19" spans="2:18" ht="15" customHeight="1" x14ac:dyDescent="0.25">
      <c r="B19" s="82">
        <f t="shared" si="1"/>
        <v>15</v>
      </c>
      <c r="C19" s="126">
        <f>'Registros Pluviómetro'!A20</f>
        <v>1997</v>
      </c>
      <c r="D19" s="127">
        <f>'Registros Pluviómetro'!N20</f>
        <v>121.2</v>
      </c>
      <c r="E19" s="128">
        <f>'Registros Pluviómetro'!N20</f>
        <v>121.2</v>
      </c>
      <c r="F19" s="87">
        <f t="shared" si="0"/>
        <v>2978.6405325443789</v>
      </c>
    </row>
    <row r="20" spans="2:18" ht="15" customHeight="1" x14ac:dyDescent="0.25">
      <c r="B20" s="82">
        <f t="shared" si="1"/>
        <v>16</v>
      </c>
      <c r="C20" s="126">
        <f>'Registros Pluviómetro'!A21</f>
        <v>1998</v>
      </c>
      <c r="D20" s="127">
        <f>'Registros Pluviómetro'!N21</f>
        <v>230</v>
      </c>
      <c r="E20" s="128">
        <f>'Registros Pluviómetro'!N21</f>
        <v>230</v>
      </c>
      <c r="F20" s="87">
        <f t="shared" si="0"/>
        <v>26692.018994082839</v>
      </c>
    </row>
    <row r="21" spans="2:18" ht="15" customHeight="1" x14ac:dyDescent="0.25">
      <c r="B21" s="82">
        <f t="shared" si="1"/>
        <v>17</v>
      </c>
      <c r="C21" s="126">
        <f>'Registros Pluviómetro'!A22</f>
        <v>1999</v>
      </c>
      <c r="D21" s="127">
        <f>'Registros Pluviómetro'!N22</f>
        <v>155.69999999999999</v>
      </c>
      <c r="E21" s="128">
        <f>'Registros Pluviómetro'!N22</f>
        <v>155.69999999999999</v>
      </c>
      <c r="F21" s="87">
        <f t="shared" si="0"/>
        <v>7934.698224852069</v>
      </c>
    </row>
    <row r="22" spans="2:18" ht="15" customHeight="1" x14ac:dyDescent="0.25">
      <c r="B22" s="82">
        <f t="shared" si="1"/>
        <v>18</v>
      </c>
      <c r="C22" s="126">
        <f>'Registros Pluviómetro'!A23</f>
        <v>2000</v>
      </c>
      <c r="D22" s="127">
        <f>'Registros Pluviómetro'!N23</f>
        <v>25.8</v>
      </c>
      <c r="E22" s="128">
        <f>'Registros Pluviómetro'!N23</f>
        <v>25.8</v>
      </c>
      <c r="F22" s="87">
        <f t="shared" si="0"/>
        <v>1666.5236094674558</v>
      </c>
    </row>
    <row r="23" spans="2:18" ht="15" customHeight="1" x14ac:dyDescent="0.25">
      <c r="B23" s="82">
        <f t="shared" si="1"/>
        <v>19</v>
      </c>
      <c r="C23" s="126">
        <f>'Registros Pluviómetro'!A24</f>
        <v>2001</v>
      </c>
      <c r="D23" s="127">
        <f>'Registros Pluviómetro'!N24</f>
        <v>35.5</v>
      </c>
      <c r="E23" s="128">
        <f>'Registros Pluviómetro'!N24</f>
        <v>35.5</v>
      </c>
      <c r="F23" s="87">
        <f t="shared" si="0"/>
        <v>968.64591715976326</v>
      </c>
    </row>
    <row r="24" spans="2:18" ht="15" customHeight="1" x14ac:dyDescent="0.25">
      <c r="B24" s="82">
        <f t="shared" si="1"/>
        <v>20</v>
      </c>
      <c r="C24" s="126">
        <f>'Registros Pluviómetro'!A25</f>
        <v>2002</v>
      </c>
      <c r="D24" s="127">
        <f>'Registros Pluviómetro'!N25</f>
        <v>79.099999999999994</v>
      </c>
      <c r="E24" s="128">
        <f>'Registros Pluviómetro'!N25</f>
        <v>79.099999999999994</v>
      </c>
      <c r="F24" s="87">
        <f t="shared" si="0"/>
        <v>155.67360946745549</v>
      </c>
    </row>
    <row r="25" spans="2:18" ht="15" customHeight="1" x14ac:dyDescent="0.25">
      <c r="B25" s="82">
        <f t="shared" si="1"/>
        <v>21</v>
      </c>
      <c r="C25" s="126">
        <f>'Registros Pluviómetro'!A26</f>
        <v>2003</v>
      </c>
      <c r="D25" s="127">
        <f>'Registros Pluviómetro'!N26</f>
        <v>51.3</v>
      </c>
      <c r="E25" s="128">
        <f>'Registros Pluviómetro'!N26</f>
        <v>51.3</v>
      </c>
      <c r="F25" s="87">
        <f t="shared" si="0"/>
        <v>234.79668639053261</v>
      </c>
    </row>
    <row r="26" spans="2:18" ht="15" customHeight="1" x14ac:dyDescent="0.25">
      <c r="B26" s="82">
        <f t="shared" si="1"/>
        <v>22</v>
      </c>
      <c r="C26" s="126">
        <f>'Registros Pluviómetro'!A27</f>
        <v>2004</v>
      </c>
      <c r="D26" s="127">
        <f>'Registros Pluviómetro'!N27</f>
        <v>50</v>
      </c>
      <c r="E26" s="128">
        <f>'Registros Pluviómetro'!N27</f>
        <v>50</v>
      </c>
      <c r="F26" s="87">
        <f t="shared" si="0"/>
        <v>276.32668639053253</v>
      </c>
    </row>
    <row r="27" spans="2:18" ht="15" customHeight="1" x14ac:dyDescent="0.25">
      <c r="B27" s="82">
        <f t="shared" si="1"/>
        <v>23</v>
      </c>
      <c r="C27" s="126">
        <f>'Registros Pluviómetro'!A28</f>
        <v>2005</v>
      </c>
      <c r="D27" s="127">
        <f>'Registros Pluviómetro'!N28</f>
        <v>15.5</v>
      </c>
      <c r="E27" s="128">
        <f>'Registros Pluviómetro'!N28</f>
        <v>15.5</v>
      </c>
      <c r="F27" s="87">
        <f t="shared" si="0"/>
        <v>2613.5689940828402</v>
      </c>
    </row>
    <row r="28" spans="2:18" ht="15" customHeight="1" x14ac:dyDescent="0.25">
      <c r="B28" s="82">
        <f t="shared" si="1"/>
        <v>24</v>
      </c>
      <c r="C28" s="126">
        <f>'Registros Pluviómetro'!A29</f>
        <v>2006</v>
      </c>
      <c r="D28" s="127">
        <f>'Registros Pluviómetro'!N29</f>
        <v>88.5</v>
      </c>
      <c r="E28" s="128">
        <f>'Registros Pluviómetro'!N29</f>
        <v>88.5</v>
      </c>
      <c r="F28" s="87">
        <f t="shared" si="0"/>
        <v>478.59976331360951</v>
      </c>
    </row>
    <row r="29" spans="2:18" ht="15" customHeight="1" x14ac:dyDescent="0.25">
      <c r="B29" s="82">
        <f t="shared" si="1"/>
        <v>25</v>
      </c>
      <c r="C29" s="126">
        <f>'Registros Pluviómetro'!A30</f>
        <v>2007</v>
      </c>
      <c r="D29" s="127">
        <f>'Registros Pluviómetro'!N30</f>
        <v>47</v>
      </c>
      <c r="E29" s="128">
        <f>'Registros Pluviómetro'!N30</f>
        <v>47</v>
      </c>
      <c r="F29" s="87">
        <f t="shared" si="0"/>
        <v>385.06514792899407</v>
      </c>
    </row>
    <row r="30" spans="2:18" ht="15" customHeight="1" x14ac:dyDescent="0.25">
      <c r="B30" s="82">
        <f t="shared" si="1"/>
        <v>26</v>
      </c>
      <c r="C30" s="126">
        <f>'Registros Pluviómetro'!A31</f>
        <v>2008</v>
      </c>
      <c r="D30" s="127">
        <f>'Registros Pluviómetro'!N31</f>
        <v>71.3</v>
      </c>
      <c r="E30" s="128">
        <f>'Registros Pluviómetro'!N31</f>
        <v>71.3</v>
      </c>
      <c r="F30" s="87">
        <f t="shared" si="0"/>
        <v>21.873609467455598</v>
      </c>
    </row>
    <row r="31" spans="2:18" ht="15" customHeight="1" x14ac:dyDescent="0.25">
      <c r="B31" s="82">
        <f t="shared" si="1"/>
        <v>27</v>
      </c>
      <c r="C31" s="126">
        <f>'Registros Pluviómetro'!A32</f>
        <v>2009</v>
      </c>
      <c r="D31" s="127">
        <f>'Registros Pluviómetro'!N32</f>
        <v>67</v>
      </c>
      <c r="E31" s="128">
        <f>'Registros Pluviómetro'!N32</f>
        <v>67</v>
      </c>
      <c r="F31" s="87">
        <f t="shared" si="0"/>
        <v>0.1420710059171601</v>
      </c>
    </row>
    <row r="32" spans="2:18" ht="15" customHeight="1" x14ac:dyDescent="0.25">
      <c r="B32" s="82">
        <f t="shared" si="1"/>
        <v>28</v>
      </c>
      <c r="C32" s="126">
        <f>'Registros Pluviómetro'!A33</f>
        <v>2010</v>
      </c>
      <c r="D32" s="127">
        <f>'Registros Pluviómetro'!N33</f>
        <v>72.3</v>
      </c>
      <c r="E32" s="128">
        <f>'Registros Pluviómetro'!N33</f>
        <v>72.3</v>
      </c>
      <c r="F32" s="87">
        <f t="shared" si="0"/>
        <v>32.22745562130175</v>
      </c>
    </row>
    <row r="33" spans="2:6" ht="15" customHeight="1" x14ac:dyDescent="0.25">
      <c r="B33" s="82">
        <f t="shared" si="1"/>
        <v>29</v>
      </c>
      <c r="C33" s="126">
        <f>'Registros Pluviómetro'!A34</f>
        <v>2011</v>
      </c>
      <c r="D33" s="127">
        <f>'Registros Pluviómetro'!N34</f>
        <v>20</v>
      </c>
      <c r="E33" s="128">
        <f>'Registros Pluviómetro'!N34</f>
        <v>20</v>
      </c>
      <c r="F33" s="87">
        <f t="shared" si="0"/>
        <v>2173.7113017751481</v>
      </c>
    </row>
    <row r="34" spans="2:6" ht="15" customHeight="1" x14ac:dyDescent="0.25">
      <c r="B34" s="82">
        <f t="shared" si="1"/>
        <v>30</v>
      </c>
      <c r="C34" s="126">
        <f>'Registros Pluviómetro'!A35</f>
        <v>2012</v>
      </c>
      <c r="D34" s="127">
        <f>'Registros Pluviómetro'!N35</f>
        <v>48.5</v>
      </c>
      <c r="E34" s="128">
        <f>'Registros Pluviómetro'!N35</f>
        <v>48.5</v>
      </c>
      <c r="F34" s="87">
        <f t="shared" si="0"/>
        <v>328.44591715976333</v>
      </c>
    </row>
    <row r="35" spans="2:6" ht="15" customHeight="1" x14ac:dyDescent="0.25">
      <c r="B35" s="82">
        <f t="shared" si="1"/>
        <v>31</v>
      </c>
      <c r="C35" s="126">
        <f>'Registros Pluviómetro'!A36</f>
        <v>2013</v>
      </c>
      <c r="D35" s="127">
        <f>'Registros Pluviómetro'!N36</f>
        <v>30.9</v>
      </c>
      <c r="E35" s="128">
        <f>'Registros Pluviómetro'!N36</f>
        <v>30.9</v>
      </c>
      <c r="F35" s="87">
        <f t="shared" si="0"/>
        <v>1276.1382248520711</v>
      </c>
    </row>
    <row r="36" spans="2:6" ht="15" customHeight="1" x14ac:dyDescent="0.25">
      <c r="B36" s="82">
        <f t="shared" si="1"/>
        <v>32</v>
      </c>
      <c r="C36" s="126">
        <f>'Registros Pluviómetro'!A37</f>
        <v>2014</v>
      </c>
      <c r="D36" s="127">
        <f>'Registros Pluviómetro'!N37</f>
        <v>29.9</v>
      </c>
      <c r="E36" s="128">
        <f>'Registros Pluviómetro'!N37</f>
        <v>29.9</v>
      </c>
      <c r="F36" s="87">
        <f t="shared" si="0"/>
        <v>1348.584378698225</v>
      </c>
    </row>
    <row r="37" spans="2:6" ht="15" customHeight="1" x14ac:dyDescent="0.25">
      <c r="B37" s="82">
        <f t="shared" si="1"/>
        <v>33</v>
      </c>
      <c r="C37" s="126">
        <f>'Registros Pluviómetro'!A38</f>
        <v>2015</v>
      </c>
      <c r="D37" s="127">
        <f>'Registros Pluviómetro'!N38</f>
        <v>78.599999999999994</v>
      </c>
      <c r="E37" s="128">
        <f>'Registros Pluviómetro'!N38</f>
        <v>78.599999999999994</v>
      </c>
      <c r="F37" s="87">
        <f t="shared" si="0"/>
        <v>143.44668639053242</v>
      </c>
    </row>
    <row r="38" spans="2:6" ht="15" customHeight="1" x14ac:dyDescent="0.25">
      <c r="B38" s="82">
        <f t="shared" si="1"/>
        <v>34</v>
      </c>
      <c r="C38" s="126">
        <f>'Registros Pluviómetro'!A39</f>
        <v>2016</v>
      </c>
      <c r="D38" s="127">
        <f>'Registros Pluviómetro'!N39</f>
        <v>90.7</v>
      </c>
      <c r="E38" s="128">
        <f>'Registros Pluviómetro'!N39</f>
        <v>90.7</v>
      </c>
      <c r="F38" s="87">
        <f t="shared" si="0"/>
        <v>579.69822485207112</v>
      </c>
    </row>
    <row r="39" spans="2:6" ht="15" customHeight="1" x14ac:dyDescent="0.25">
      <c r="B39" s="82">
        <f t="shared" si="1"/>
        <v>35</v>
      </c>
      <c r="C39" s="126">
        <f>'Registros Pluviómetro'!A40</f>
        <v>2017</v>
      </c>
      <c r="D39" s="127">
        <f>'Registros Pluviómetro'!N40</f>
        <v>103.4</v>
      </c>
      <c r="E39" s="128">
        <f>'Registros Pluviómetro'!N40</f>
        <v>103.4</v>
      </c>
      <c r="F39" s="87">
        <f t="shared" si="0"/>
        <v>1352.5420710059177</v>
      </c>
    </row>
    <row r="40" spans="2:6" ht="15" customHeight="1" x14ac:dyDescent="0.25">
      <c r="B40" s="82">
        <f t="shared" si="1"/>
        <v>36</v>
      </c>
      <c r="C40" s="126">
        <f>'Registros Pluviómetro'!A41</f>
        <v>2018</v>
      </c>
      <c r="D40" s="127">
        <f>'Registros Pluviómetro'!N41</f>
        <v>16.899999999999999</v>
      </c>
      <c r="E40" s="128">
        <f>'Registros Pluviómetro'!N41</f>
        <v>16.899999999999999</v>
      </c>
      <c r="F40" s="87">
        <f t="shared" si="0"/>
        <v>2472.3843786982247</v>
      </c>
    </row>
    <row r="41" spans="2:6" ht="15" customHeight="1" x14ac:dyDescent="0.25">
      <c r="B41" s="82">
        <f t="shared" si="1"/>
        <v>37</v>
      </c>
      <c r="C41" s="126">
        <f>'Registros Pluviómetro'!A42</f>
        <v>2019</v>
      </c>
      <c r="D41" s="127">
        <f>'Registros Pluviómetro'!N42</f>
        <v>44</v>
      </c>
      <c r="E41" s="128">
        <f>'Registros Pluviómetro'!N42</f>
        <v>44</v>
      </c>
      <c r="F41" s="87">
        <f t="shared" si="0"/>
        <v>511.8036094674556</v>
      </c>
    </row>
    <row r="42" spans="2:6" ht="15" customHeight="1" x14ac:dyDescent="0.25">
      <c r="B42" s="82">
        <f t="shared" si="1"/>
        <v>38</v>
      </c>
      <c r="C42" s="126">
        <f>'Registros Pluviómetro'!A43</f>
        <v>2020</v>
      </c>
      <c r="D42" s="127">
        <f>'Registros Pluviómetro'!N43</f>
        <v>49.3</v>
      </c>
      <c r="E42" s="128">
        <f>'Registros Pluviómetro'!N43</f>
        <v>49.3</v>
      </c>
      <c r="F42" s="87">
        <f t="shared" si="0"/>
        <v>300.08899408284032</v>
      </c>
    </row>
    <row r="43" spans="2:6" ht="15" customHeight="1" x14ac:dyDescent="0.25">
      <c r="B43" s="83">
        <f t="shared" si="1"/>
        <v>39</v>
      </c>
      <c r="C43" s="144">
        <f>'Registros Pluviómetro'!A44</f>
        <v>2021</v>
      </c>
      <c r="D43" s="145">
        <f>'Registros Pluviómetro'!N44</f>
        <v>43.6</v>
      </c>
      <c r="E43" s="146">
        <f>'Registros Pluviómetro'!N44</f>
        <v>43.6</v>
      </c>
      <c r="F43" s="88">
        <f t="shared" si="0"/>
        <v>530.06207100591712</v>
      </c>
    </row>
    <row r="44" spans="2:6" ht="15" customHeight="1" x14ac:dyDescent="0.25">
      <c r="B44" s="84">
        <f>COUNT(B5:B43)</f>
        <v>39</v>
      </c>
      <c r="C44" s="147"/>
      <c r="D44" s="80" t="s">
        <v>5</v>
      </c>
      <c r="E44" s="148">
        <f>SUM(E5:E43)</f>
        <v>2598.3000000000002</v>
      </c>
      <c r="F44" s="148">
        <f>SUM(F5:F43)</f>
        <v>91765.149230769224</v>
      </c>
    </row>
    <row r="62" spans="11:11" x14ac:dyDescent="0.25">
      <c r="K62" s="149"/>
    </row>
  </sheetData>
  <mergeCells count="6">
    <mergeCell ref="L2:R3"/>
    <mergeCell ref="H2:K3"/>
    <mergeCell ref="B3:B4"/>
    <mergeCell ref="C3:C4"/>
    <mergeCell ref="E3:F3"/>
    <mergeCell ref="D3:D4"/>
  </mergeCells>
  <printOptions horizontalCentered="1"/>
  <pageMargins left="0.78740157480314965" right="0.78740157480314965" top="0.78740157480314965" bottom="0.78740157480314965" header="0" footer="0"/>
  <pageSetup paperSize="9" scale="84" orientation="portrait" verticalDpi="300" r:id="rId1"/>
  <rowBreaks count="1" manualBreakCount="1">
    <brk id="45" max="16383" man="1"/>
  </rowBreaks>
  <colBreaks count="1" manualBreakCount="1">
    <brk id="7" max="43" man="1"/>
  </colBreaks>
  <drawing r:id="rId2"/>
  <legacyDrawing r:id="rId3"/>
  <oleObjects>
    <mc:AlternateContent xmlns:mc="http://schemas.openxmlformats.org/markup-compatibility/2006">
      <mc:Choice Requires="x14">
        <oleObject progId="Equation.3" shapeId="2049" r:id="rId4">
          <objectPr defaultSize="0" r:id="rId5">
            <anchor moveWithCells="1">
              <from>
                <xdr:col>8</xdr:col>
                <xdr:colOff>0</xdr:colOff>
                <xdr:row>3</xdr:row>
                <xdr:rowOff>45720</xdr:rowOff>
              </from>
              <to>
                <xdr:col>8</xdr:col>
                <xdr:colOff>723900</xdr:colOff>
                <xdr:row>5</xdr:row>
                <xdr:rowOff>99060</xdr:rowOff>
              </to>
            </anchor>
          </objectPr>
        </oleObject>
      </mc:Choice>
      <mc:Fallback>
        <oleObject progId="Equation.3" shapeId="2049" r:id="rId4"/>
      </mc:Fallback>
    </mc:AlternateContent>
    <mc:AlternateContent xmlns:mc="http://schemas.openxmlformats.org/markup-compatibility/2006">
      <mc:Choice Requires="x14">
        <oleObject progId="Equation.3" shapeId="2050" r:id="rId6">
          <objectPr defaultSize="0" autoPict="0" r:id="rId7">
            <anchor moveWithCells="1">
              <from>
                <xdr:col>7</xdr:col>
                <xdr:colOff>190500</xdr:colOff>
                <xdr:row>7</xdr:row>
                <xdr:rowOff>22860</xdr:rowOff>
              </from>
              <to>
                <xdr:col>8</xdr:col>
                <xdr:colOff>762000</xdr:colOff>
                <xdr:row>10</xdr:row>
                <xdr:rowOff>114300</xdr:rowOff>
              </to>
            </anchor>
          </objectPr>
        </oleObject>
      </mc:Choice>
      <mc:Fallback>
        <oleObject progId="Equation.3" shapeId="2050" r:id="rId6"/>
      </mc:Fallback>
    </mc:AlternateContent>
    <mc:AlternateContent xmlns:mc="http://schemas.openxmlformats.org/markup-compatibility/2006">
      <mc:Choice Requires="x14">
        <oleObject progId="Equation.3" shapeId="2051" r:id="rId8">
          <objectPr defaultSize="0" autoPict="0" r:id="rId9">
            <anchor moveWithCells="1">
              <from>
                <xdr:col>7</xdr:col>
                <xdr:colOff>647700</xdr:colOff>
                <xdr:row>11</xdr:row>
                <xdr:rowOff>60960</xdr:rowOff>
              </from>
              <to>
                <xdr:col>8</xdr:col>
                <xdr:colOff>769620</xdr:colOff>
                <xdr:row>13</xdr:row>
                <xdr:rowOff>99060</xdr:rowOff>
              </to>
            </anchor>
          </objectPr>
        </oleObject>
      </mc:Choice>
      <mc:Fallback>
        <oleObject progId="Equation.3" shapeId="2051" r:id="rId8"/>
      </mc:Fallback>
    </mc:AlternateContent>
    <mc:AlternateContent xmlns:mc="http://schemas.openxmlformats.org/markup-compatibility/2006">
      <mc:Choice Requires="x14">
        <oleObject progId="Equation.3" shapeId="2052" r:id="rId10">
          <objectPr defaultSize="0" autoPict="0" r:id="rId11">
            <anchor moveWithCells="1">
              <from>
                <xdr:col>7</xdr:col>
                <xdr:colOff>198120</xdr:colOff>
                <xdr:row>14</xdr:row>
                <xdr:rowOff>182880</xdr:rowOff>
              </from>
              <to>
                <xdr:col>9</xdr:col>
                <xdr:colOff>0</xdr:colOff>
                <xdr:row>16</xdr:row>
                <xdr:rowOff>0</xdr:rowOff>
              </to>
            </anchor>
          </objectPr>
        </oleObject>
      </mc:Choice>
      <mc:Fallback>
        <oleObject progId="Equation.3" shapeId="2052" r:id="rId10"/>
      </mc:Fallback>
    </mc:AlternateContent>
    <mc:AlternateContent xmlns:mc="http://schemas.openxmlformats.org/markup-compatibility/2006">
      <mc:Choice Requires="x14">
        <oleObject progId="Equation.3" shapeId="2053" r:id="rId12">
          <objectPr defaultSize="0" autoPict="0" r:id="rId13">
            <anchor moveWithCells="1">
              <from>
                <xdr:col>14</xdr:col>
                <xdr:colOff>678180</xdr:colOff>
                <xdr:row>14</xdr:row>
                <xdr:rowOff>0</xdr:rowOff>
              </from>
              <to>
                <xdr:col>16</xdr:col>
                <xdr:colOff>403860</xdr:colOff>
                <xdr:row>17</xdr:row>
                <xdr:rowOff>7620</xdr:rowOff>
              </to>
            </anchor>
          </objectPr>
        </oleObject>
      </mc:Choice>
      <mc:Fallback>
        <oleObject progId="Equation.3" shapeId="2053" r:id="rId12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W20"/>
  <sheetViews>
    <sheetView view="pageBreakPreview" zoomScaleNormal="100" zoomScaleSheetLayoutView="100" workbookViewId="0">
      <selection activeCell="J27" sqref="J27"/>
    </sheetView>
  </sheetViews>
  <sheetFormatPr baseColWidth="10" defaultColWidth="11.44140625" defaultRowHeight="13.2" x14ac:dyDescent="0.25"/>
  <cols>
    <col min="1" max="20" width="6.109375" style="113" customWidth="1"/>
    <col min="21" max="16384" width="11.44140625" style="113"/>
  </cols>
  <sheetData>
    <row r="1" spans="1:23" x14ac:dyDescent="0.25">
      <c r="A1" s="1" t="s">
        <v>40</v>
      </c>
      <c r="B1" s="1"/>
      <c r="C1" s="1"/>
      <c r="N1" s="2"/>
      <c r="O1" s="2"/>
    </row>
    <row r="2" spans="1:23" ht="13.8" thickBot="1" x14ac:dyDescent="0.3"/>
    <row r="3" spans="1:23" x14ac:dyDescent="0.25">
      <c r="A3" s="275" t="s">
        <v>23</v>
      </c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  <c r="R3" s="276"/>
      <c r="S3" s="276"/>
      <c r="T3" s="277"/>
    </row>
    <row r="4" spans="1:23" ht="15" customHeight="1" thickBot="1" x14ac:dyDescent="0.3">
      <c r="A4" s="363">
        <v>1</v>
      </c>
      <c r="B4" s="351"/>
      <c r="C4" s="350">
        <v>2</v>
      </c>
      <c r="D4" s="351"/>
      <c r="E4" s="350">
        <v>3</v>
      </c>
      <c r="F4" s="351"/>
      <c r="G4" s="350">
        <v>4</v>
      </c>
      <c r="H4" s="351"/>
      <c r="I4" s="350">
        <v>5</v>
      </c>
      <c r="J4" s="351"/>
      <c r="K4" s="350">
        <v>6</v>
      </c>
      <c r="L4" s="351"/>
      <c r="M4" s="350">
        <v>8</v>
      </c>
      <c r="N4" s="351"/>
      <c r="O4" s="350">
        <v>12</v>
      </c>
      <c r="P4" s="351"/>
      <c r="Q4" s="350">
        <v>18</v>
      </c>
      <c r="R4" s="351"/>
      <c r="S4" s="350">
        <v>24</v>
      </c>
      <c r="T4" s="357"/>
    </row>
    <row r="5" spans="1:23" ht="15" customHeight="1" thickBot="1" x14ac:dyDescent="0.3">
      <c r="A5" s="364">
        <v>0.25</v>
      </c>
      <c r="B5" s="353"/>
      <c r="C5" s="352">
        <v>0.31</v>
      </c>
      <c r="D5" s="353"/>
      <c r="E5" s="352">
        <v>0.38</v>
      </c>
      <c r="F5" s="353"/>
      <c r="G5" s="352">
        <v>0.44</v>
      </c>
      <c r="H5" s="353"/>
      <c r="I5" s="352">
        <v>0.5</v>
      </c>
      <c r="J5" s="353"/>
      <c r="K5" s="352">
        <v>0.56000000000000005</v>
      </c>
      <c r="L5" s="353"/>
      <c r="M5" s="352">
        <v>0.64</v>
      </c>
      <c r="N5" s="353"/>
      <c r="O5" s="352">
        <v>0.79</v>
      </c>
      <c r="P5" s="353"/>
      <c r="Q5" s="352">
        <v>0.9</v>
      </c>
      <c r="R5" s="353"/>
      <c r="S5" s="352">
        <v>1</v>
      </c>
      <c r="T5" s="358"/>
    </row>
    <row r="7" spans="1:23" ht="13.8" thickBot="1" x14ac:dyDescent="0.3">
      <c r="A7" s="1" t="s">
        <v>41</v>
      </c>
      <c r="B7" s="1"/>
      <c r="C7" s="1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</row>
    <row r="8" spans="1:23" ht="14.4" customHeight="1" x14ac:dyDescent="0.25">
      <c r="A8" s="19"/>
      <c r="B8" s="370" t="s">
        <v>195</v>
      </c>
      <c r="C8" s="379"/>
      <c r="D8" s="374" t="s">
        <v>24</v>
      </c>
      <c r="E8" s="374"/>
      <c r="F8" s="375" t="s">
        <v>42</v>
      </c>
      <c r="G8" s="375"/>
      <c r="H8" s="375"/>
      <c r="I8" s="375"/>
      <c r="J8" s="375"/>
      <c r="K8" s="375"/>
      <c r="L8" s="375"/>
      <c r="M8" s="375"/>
      <c r="N8" s="375"/>
      <c r="O8" s="375"/>
      <c r="P8" s="375"/>
      <c r="Q8" s="375"/>
      <c r="R8" s="375"/>
      <c r="S8" s="376"/>
      <c r="T8" s="23"/>
      <c r="U8" s="24"/>
      <c r="V8" s="19"/>
    </row>
    <row r="9" spans="1:23" ht="15" customHeight="1" thickBot="1" x14ac:dyDescent="0.3">
      <c r="B9" s="382"/>
      <c r="C9" s="383"/>
      <c r="D9" s="384"/>
      <c r="E9" s="384"/>
      <c r="F9" s="365">
        <v>2</v>
      </c>
      <c r="G9" s="365"/>
      <c r="H9" s="365">
        <v>5</v>
      </c>
      <c r="I9" s="365"/>
      <c r="J9" s="365">
        <v>10</v>
      </c>
      <c r="K9" s="365"/>
      <c r="L9" s="365">
        <v>25</v>
      </c>
      <c r="M9" s="365"/>
      <c r="N9" s="365">
        <v>50</v>
      </c>
      <c r="O9" s="365"/>
      <c r="P9" s="365">
        <v>100</v>
      </c>
      <c r="Q9" s="365"/>
      <c r="R9" s="365" t="s">
        <v>25</v>
      </c>
      <c r="S9" s="354"/>
      <c r="T9" s="5"/>
      <c r="U9" s="19"/>
      <c r="V9" s="19"/>
    </row>
    <row r="10" spans="1:23" ht="15" customHeight="1" x14ac:dyDescent="0.25">
      <c r="B10" s="385">
        <v>24</v>
      </c>
      <c r="C10" s="386"/>
      <c r="D10" s="390" t="s">
        <v>26</v>
      </c>
      <c r="E10" s="391"/>
      <c r="F10" s="389">
        <f>'Precip. Máx. Probable'!$Q$8*$S5</f>
        <v>66.162095400844336</v>
      </c>
      <c r="G10" s="380"/>
      <c r="H10" s="380">
        <f>'Precip. Máx. Probable'!$Q$9*$S5</f>
        <v>115.23535031052748</v>
      </c>
      <c r="I10" s="380"/>
      <c r="J10" s="380">
        <f>'Precip. Máx. Probable'!$Q$10*$S5</f>
        <v>147.72611506554082</v>
      </c>
      <c r="K10" s="380"/>
      <c r="L10" s="380">
        <f>'Precip. Máx. Probable'!$Q$11*$S5</f>
        <v>188.77828246484773</v>
      </c>
      <c r="M10" s="380"/>
      <c r="N10" s="380">
        <f>'Precip. Máx. Probable'!$Q$12*$S5</f>
        <v>219.23312537765253</v>
      </c>
      <c r="O10" s="380"/>
      <c r="P10" s="380">
        <f>'Precip. Máx. Probable'!$Q$13*$S5</f>
        <v>249.4630945109113</v>
      </c>
      <c r="Q10" s="380"/>
      <c r="R10" s="380">
        <f>'Precip. Máx. Probable'!$Q$14*$S5</f>
        <v>319.31993833769604</v>
      </c>
      <c r="S10" s="381"/>
      <c r="U10" s="19"/>
      <c r="V10" s="19"/>
    </row>
    <row r="11" spans="1:23" ht="14.4" customHeight="1" x14ac:dyDescent="0.25">
      <c r="B11" s="377">
        <v>18</v>
      </c>
      <c r="C11" s="387"/>
      <c r="D11" s="359" t="s">
        <v>27</v>
      </c>
      <c r="E11" s="360"/>
      <c r="F11" s="367">
        <f>'Precip. Máx. Probable'!$Q$8*$Q5</f>
        <v>59.545885860759903</v>
      </c>
      <c r="G11" s="366"/>
      <c r="H11" s="366">
        <f>'Precip. Máx. Probable'!$Q$9*$Q5</f>
        <v>103.71181527947473</v>
      </c>
      <c r="I11" s="366"/>
      <c r="J11" s="366">
        <f>'Precip. Máx. Probable'!$Q$10*$Q5</f>
        <v>132.95350355898674</v>
      </c>
      <c r="K11" s="366"/>
      <c r="L11" s="366">
        <f>'Precip. Máx. Probable'!$Q$11*$O5</f>
        <v>149.13484314722973</v>
      </c>
      <c r="M11" s="366"/>
      <c r="N11" s="366">
        <f>'Precip. Máx. Probable'!$Q$12*$Q5</f>
        <v>197.30981283988729</v>
      </c>
      <c r="O11" s="366"/>
      <c r="P11" s="366">
        <f>'Precip. Máx. Probable'!$Q$13*$Q5</f>
        <v>224.51678505982017</v>
      </c>
      <c r="Q11" s="366"/>
      <c r="R11" s="366">
        <f>'Precip. Máx. Probable'!$Q$14*$Q5</f>
        <v>287.38794450392646</v>
      </c>
      <c r="S11" s="355"/>
      <c r="U11" s="19"/>
      <c r="V11" s="150"/>
    </row>
    <row r="12" spans="1:23" ht="14.4" customHeight="1" x14ac:dyDescent="0.25">
      <c r="B12" s="377">
        <v>12</v>
      </c>
      <c r="C12" s="387"/>
      <c r="D12" s="359" t="s">
        <v>28</v>
      </c>
      <c r="E12" s="360"/>
      <c r="F12" s="367">
        <f>'Precip. Máx. Probable'!$Q$8*$O5</f>
        <v>52.268055366667028</v>
      </c>
      <c r="G12" s="366"/>
      <c r="H12" s="366">
        <f>'Precip. Máx. Probable'!$Q$9*$O5</f>
        <v>91.035926745316715</v>
      </c>
      <c r="I12" s="366"/>
      <c r="J12" s="366">
        <f>'Precip. Máx. Probable'!$Q$10*$O5</f>
        <v>116.70363090177726</v>
      </c>
      <c r="K12" s="366"/>
      <c r="L12" s="366">
        <f>'Precip. Máx. Probable'!$Q$11*$O5</f>
        <v>149.13484314722973</v>
      </c>
      <c r="M12" s="366"/>
      <c r="N12" s="366">
        <f>'Precip. Máx. Probable'!$Q$12*$O5</f>
        <v>173.19416904834551</v>
      </c>
      <c r="O12" s="366"/>
      <c r="P12" s="366">
        <f>'Precip. Máx. Probable'!$Q$13*$O5</f>
        <v>197.07584466361993</v>
      </c>
      <c r="Q12" s="366"/>
      <c r="R12" s="366">
        <f>'Precip. Máx. Probable'!$Q$14*$O5</f>
        <v>252.26275128677989</v>
      </c>
      <c r="S12" s="355"/>
      <c r="U12" s="19"/>
      <c r="V12" s="150"/>
    </row>
    <row r="13" spans="1:23" ht="14.4" customHeight="1" x14ac:dyDescent="0.25">
      <c r="B13" s="377">
        <v>8</v>
      </c>
      <c r="C13" s="387"/>
      <c r="D13" s="359" t="s">
        <v>29</v>
      </c>
      <c r="E13" s="360"/>
      <c r="F13" s="367">
        <f>'Precip. Máx. Probable'!$Q$8*$M5</f>
        <v>42.343741056540374</v>
      </c>
      <c r="G13" s="366"/>
      <c r="H13" s="366">
        <f>'Precip. Máx. Probable'!$Q$9*$M5</f>
        <v>73.750624198737583</v>
      </c>
      <c r="I13" s="366"/>
      <c r="J13" s="366">
        <f>'Precip. Máx. Probable'!$Q$10*$M5</f>
        <v>94.544713641946132</v>
      </c>
      <c r="K13" s="366"/>
      <c r="L13" s="366">
        <f>'Precip. Máx. Probable'!$Q$11*$M5</f>
        <v>120.81810077750255</v>
      </c>
      <c r="M13" s="366"/>
      <c r="N13" s="366">
        <f>'Precip. Máx. Probable'!$Q$12*$M5</f>
        <v>140.30920024169762</v>
      </c>
      <c r="O13" s="366"/>
      <c r="P13" s="366">
        <f>'Precip. Máx. Probable'!$Q$13*$M5</f>
        <v>159.65638048698324</v>
      </c>
      <c r="Q13" s="366"/>
      <c r="R13" s="366">
        <f>'Precip. Máx. Probable'!$Q$14*$M5</f>
        <v>204.36476053612546</v>
      </c>
      <c r="S13" s="355"/>
      <c r="U13" s="19"/>
      <c r="V13" s="150"/>
      <c r="W13" s="113">
        <f>10.66/2</f>
        <v>5.33</v>
      </c>
    </row>
    <row r="14" spans="1:23" ht="14.4" customHeight="1" x14ac:dyDescent="0.25">
      <c r="B14" s="377">
        <v>6</v>
      </c>
      <c r="C14" s="387"/>
      <c r="D14" s="359" t="s">
        <v>30</v>
      </c>
      <c r="E14" s="360"/>
      <c r="F14" s="367">
        <f>'Precip. Máx. Probable'!$Q$8*$K5</f>
        <v>37.05077342447283</v>
      </c>
      <c r="G14" s="366"/>
      <c r="H14" s="366">
        <f>'Precip. Máx. Probable'!$Q$9*$K5</f>
        <v>64.531796173895401</v>
      </c>
      <c r="I14" s="366"/>
      <c r="J14" s="366">
        <f>'Precip. Máx. Probable'!$Q$10*$K5</f>
        <v>82.726624436702863</v>
      </c>
      <c r="K14" s="366"/>
      <c r="L14" s="366">
        <f>'Precip. Máx. Probable'!$Q$11*$K5</f>
        <v>105.71583818031475</v>
      </c>
      <c r="M14" s="366"/>
      <c r="N14" s="366">
        <f>'Precip. Máx. Probable'!$Q$12*$K5</f>
        <v>122.77055021148543</v>
      </c>
      <c r="O14" s="366"/>
      <c r="P14" s="366">
        <f>'Precip. Máx. Probable'!$Q$13*$K5</f>
        <v>139.69933292611034</v>
      </c>
      <c r="Q14" s="366"/>
      <c r="R14" s="366">
        <f>'Precip. Máx. Probable'!$Q$14*$K5</f>
        <v>178.81916546910981</v>
      </c>
      <c r="S14" s="355"/>
      <c r="U14" s="19"/>
      <c r="V14" s="150"/>
    </row>
    <row r="15" spans="1:23" ht="14.4" customHeight="1" x14ac:dyDescent="0.25">
      <c r="B15" s="377">
        <v>5</v>
      </c>
      <c r="C15" s="387"/>
      <c r="D15" s="359" t="s">
        <v>31</v>
      </c>
      <c r="E15" s="360"/>
      <c r="F15" s="367">
        <f>'Precip. Máx. Probable'!$Q$8*$I5</f>
        <v>33.081047700422168</v>
      </c>
      <c r="G15" s="366"/>
      <c r="H15" s="366">
        <f>'Precip. Máx. Probable'!$Q$9*$I5</f>
        <v>57.61767515526374</v>
      </c>
      <c r="I15" s="366"/>
      <c r="J15" s="366">
        <f>'Precip. Máx. Probable'!$Q$10*$I5</f>
        <v>73.863057532770412</v>
      </c>
      <c r="K15" s="366"/>
      <c r="L15" s="366">
        <f>'Precip. Máx. Probable'!$Q$11*$I5</f>
        <v>94.389141232423867</v>
      </c>
      <c r="M15" s="366"/>
      <c r="N15" s="366">
        <f>'Precip. Máx. Probable'!$Q$12*$I5</f>
        <v>109.61656268882626</v>
      </c>
      <c r="O15" s="366"/>
      <c r="P15" s="366">
        <f>'Precip. Máx. Probable'!$Q$13*$I5</f>
        <v>124.73154725545565</v>
      </c>
      <c r="Q15" s="366"/>
      <c r="R15" s="366">
        <f>'Precip. Máx. Probable'!$Q$14*$I5</f>
        <v>159.65996916884802</v>
      </c>
      <c r="S15" s="355"/>
      <c r="U15" s="19"/>
      <c r="V15" s="150"/>
    </row>
    <row r="16" spans="1:23" ht="14.4" customHeight="1" x14ac:dyDescent="0.25">
      <c r="B16" s="377">
        <v>4</v>
      </c>
      <c r="C16" s="387"/>
      <c r="D16" s="359" t="s">
        <v>32</v>
      </c>
      <c r="E16" s="360"/>
      <c r="F16" s="367">
        <f>'Precip. Máx. Probable'!$Q$8*$G5</f>
        <v>29.111321976371507</v>
      </c>
      <c r="G16" s="366"/>
      <c r="H16" s="366">
        <f>'Precip. Máx. Probable'!$Q$9*$G5</f>
        <v>50.703554136632093</v>
      </c>
      <c r="I16" s="366"/>
      <c r="J16" s="366">
        <f>'Precip. Máx. Probable'!$Q$10*$G5</f>
        <v>64.999490628837961</v>
      </c>
      <c r="K16" s="366"/>
      <c r="L16" s="366">
        <f>'Precip. Máx. Probable'!$Q$11*$G5</f>
        <v>83.062444284533001</v>
      </c>
      <c r="M16" s="366"/>
      <c r="N16" s="366">
        <f>'Precip. Máx. Probable'!$Q$12*$G5</f>
        <v>96.462575166167113</v>
      </c>
      <c r="O16" s="366"/>
      <c r="P16" s="366">
        <f>'Precip. Máx. Probable'!$Q$13*$G5</f>
        <v>109.76376158480097</v>
      </c>
      <c r="Q16" s="366"/>
      <c r="R16" s="366">
        <f>'Precip. Máx. Probable'!$Q$14*$G5</f>
        <v>140.50077286858627</v>
      </c>
      <c r="S16" s="355"/>
      <c r="U16" s="19"/>
      <c r="V16" s="150"/>
    </row>
    <row r="17" spans="2:22" ht="14.4" customHeight="1" x14ac:dyDescent="0.25">
      <c r="B17" s="377">
        <v>3</v>
      </c>
      <c r="C17" s="387"/>
      <c r="D17" s="359" t="s">
        <v>33</v>
      </c>
      <c r="E17" s="360"/>
      <c r="F17" s="367">
        <f>'Precip. Máx. Probable'!$Q$8*$E5</f>
        <v>25.141596252320848</v>
      </c>
      <c r="G17" s="366"/>
      <c r="H17" s="366">
        <f>'Precip. Máx. Probable'!$Q$9*$E5</f>
        <v>43.789433118000446</v>
      </c>
      <c r="I17" s="366"/>
      <c r="J17" s="366">
        <f>'Precip. Máx. Probable'!$Q$10*$E5</f>
        <v>56.135923724905517</v>
      </c>
      <c r="K17" s="366"/>
      <c r="L17" s="366">
        <f>'Precip. Máx. Probable'!$Q$11*$E5</f>
        <v>71.735747336642135</v>
      </c>
      <c r="M17" s="366"/>
      <c r="N17" s="366">
        <f>'Precip. Máx. Probable'!$Q$12*$E5</f>
        <v>83.308587643507963</v>
      </c>
      <c r="O17" s="366"/>
      <c r="P17" s="366">
        <f>'Precip. Máx. Probable'!$Q$13*$E5</f>
        <v>94.795975914146297</v>
      </c>
      <c r="Q17" s="366"/>
      <c r="R17" s="366">
        <f>'Precip. Máx. Probable'!$Q$14*$E5</f>
        <v>121.3415765683245</v>
      </c>
      <c r="S17" s="355"/>
      <c r="U17" s="19"/>
      <c r="V17" s="150"/>
    </row>
    <row r="18" spans="2:22" ht="14.4" customHeight="1" x14ac:dyDescent="0.25">
      <c r="B18" s="377">
        <v>2</v>
      </c>
      <c r="C18" s="387"/>
      <c r="D18" s="359" t="s">
        <v>34</v>
      </c>
      <c r="E18" s="360"/>
      <c r="F18" s="367">
        <f>'Precip. Máx. Probable'!$Q$8*$C5</f>
        <v>20.510249574261746</v>
      </c>
      <c r="G18" s="366"/>
      <c r="H18" s="366">
        <f>'Precip. Máx. Probable'!$Q$9*$C5</f>
        <v>35.722958596263517</v>
      </c>
      <c r="I18" s="366"/>
      <c r="J18" s="366">
        <f>'Precip. Máx. Probable'!$Q$10*$C5</f>
        <v>45.795095670317657</v>
      </c>
      <c r="K18" s="366"/>
      <c r="L18" s="366">
        <f>'Precip. Máx. Probable'!$Q$11*$C5</f>
        <v>58.5212675641028</v>
      </c>
      <c r="M18" s="366"/>
      <c r="N18" s="366">
        <f>'Precip. Máx. Probable'!$Q$12*$C5</f>
        <v>67.962268867072282</v>
      </c>
      <c r="O18" s="366"/>
      <c r="P18" s="366">
        <f>'Precip. Máx. Probable'!$Q$13*$C5</f>
        <v>77.333559298382511</v>
      </c>
      <c r="Q18" s="366"/>
      <c r="R18" s="366">
        <f>'Precip. Máx. Probable'!$Q$14*$C5</f>
        <v>98.98918088468578</v>
      </c>
      <c r="S18" s="355"/>
      <c r="U18" s="19"/>
      <c r="V18" s="150"/>
    </row>
    <row r="19" spans="2:22" ht="14.4" customHeight="1" thickBot="1" x14ac:dyDescent="0.3">
      <c r="B19" s="378">
        <v>1</v>
      </c>
      <c r="C19" s="388"/>
      <c r="D19" s="361" t="s">
        <v>35</v>
      </c>
      <c r="E19" s="362"/>
      <c r="F19" s="369">
        <f>'Precip. Máx. Probable'!$Q$8*$A5</f>
        <v>16.540523850211084</v>
      </c>
      <c r="G19" s="368"/>
      <c r="H19" s="368">
        <f>'Precip. Máx. Probable'!$Q$9*$A5</f>
        <v>28.80883757763187</v>
      </c>
      <c r="I19" s="368"/>
      <c r="J19" s="368">
        <f>'Precip. Máx. Probable'!$Q$10*$A5</f>
        <v>36.931528766385206</v>
      </c>
      <c r="K19" s="368"/>
      <c r="L19" s="368">
        <f>'Precip. Máx. Probable'!$Q$11*$A5</f>
        <v>47.194570616211934</v>
      </c>
      <c r="M19" s="368"/>
      <c r="N19" s="368">
        <f>'Precip. Máx. Probable'!$Q$12*$A5</f>
        <v>54.808281344413132</v>
      </c>
      <c r="O19" s="368"/>
      <c r="P19" s="368">
        <f>'Precip. Máx. Probable'!$Q$13*$A5</f>
        <v>62.365773627727826</v>
      </c>
      <c r="Q19" s="368"/>
      <c r="R19" s="368">
        <f>'Precip. Máx. Probable'!$Q$14*$A5</f>
        <v>79.829984584424011</v>
      </c>
      <c r="S19" s="356"/>
      <c r="U19" s="19"/>
      <c r="V19" s="150"/>
    </row>
    <row r="20" spans="2:22" s="371" customFormat="1" ht="15" customHeight="1" x14ac:dyDescent="0.25">
      <c r="S20" s="372"/>
      <c r="U20" s="25"/>
      <c r="V20" s="373"/>
    </row>
  </sheetData>
  <mergeCells count="121">
    <mergeCell ref="P19:Q19"/>
    <mergeCell ref="B8:C9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M4:N4"/>
    <mergeCell ref="M5:N5"/>
    <mergeCell ref="P9:Q9"/>
    <mergeCell ref="P10:Q10"/>
    <mergeCell ref="G4:H4"/>
    <mergeCell ref="I4:J4"/>
    <mergeCell ref="G5:H5"/>
    <mergeCell ref="I5:J5"/>
    <mergeCell ref="K4:L4"/>
    <mergeCell ref="K5:L5"/>
    <mergeCell ref="L18:M18"/>
    <mergeCell ref="L19:M19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N18:O18"/>
    <mergeCell ref="N19:O19"/>
    <mergeCell ref="L13:M13"/>
    <mergeCell ref="L14:M14"/>
    <mergeCell ref="L15:M15"/>
    <mergeCell ref="L16:M16"/>
    <mergeCell ref="L17:M17"/>
    <mergeCell ref="H18:I18"/>
    <mergeCell ref="H19:I19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J18:K18"/>
    <mergeCell ref="J19:K19"/>
    <mergeCell ref="H13:I13"/>
    <mergeCell ref="H14:I14"/>
    <mergeCell ref="H15:I15"/>
    <mergeCell ref="H16:I16"/>
    <mergeCell ref="H17:I17"/>
    <mergeCell ref="F8:S8"/>
    <mergeCell ref="H9:I9"/>
    <mergeCell ref="H10:I10"/>
    <mergeCell ref="H11:I11"/>
    <mergeCell ref="H12:I12"/>
    <mergeCell ref="L9:M9"/>
    <mergeCell ref="L10:M10"/>
    <mergeCell ref="L11:M11"/>
    <mergeCell ref="L12:M12"/>
    <mergeCell ref="P12:Q12"/>
    <mergeCell ref="P11:Q11"/>
    <mergeCell ref="O4:P4"/>
    <mergeCell ref="O5:P5"/>
    <mergeCell ref="E4:F4"/>
    <mergeCell ref="E5:F5"/>
    <mergeCell ref="D10:E10"/>
    <mergeCell ref="D8:E9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P14:Q14"/>
    <mergeCell ref="P15:Q15"/>
    <mergeCell ref="P16:Q16"/>
    <mergeCell ref="P17:Q17"/>
    <mergeCell ref="P18:Q18"/>
    <mergeCell ref="P13:Q13"/>
    <mergeCell ref="F18:G18"/>
    <mergeCell ref="F19:G19"/>
    <mergeCell ref="B15:C15"/>
    <mergeCell ref="B16:C16"/>
    <mergeCell ref="B17:C17"/>
    <mergeCell ref="B18:C18"/>
    <mergeCell ref="B19:C19"/>
    <mergeCell ref="B10:C10"/>
    <mergeCell ref="B11:C11"/>
    <mergeCell ref="B12:C12"/>
    <mergeCell ref="B13:C13"/>
    <mergeCell ref="B14:C14"/>
    <mergeCell ref="R15:S15"/>
    <mergeCell ref="R16:S16"/>
    <mergeCell ref="R17:S17"/>
    <mergeCell ref="R18:S18"/>
    <mergeCell ref="R19:S19"/>
    <mergeCell ref="R10:S10"/>
    <mergeCell ref="R11:S11"/>
    <mergeCell ref="R12:S12"/>
    <mergeCell ref="R13:S13"/>
    <mergeCell ref="R14:S14"/>
    <mergeCell ref="A3:T3"/>
    <mergeCell ref="Q4:R4"/>
    <mergeCell ref="Q5:R5"/>
    <mergeCell ref="R9:S9"/>
    <mergeCell ref="S4:T4"/>
    <mergeCell ref="S5:T5"/>
    <mergeCell ref="A4:B4"/>
    <mergeCell ref="A5:B5"/>
    <mergeCell ref="C4:D4"/>
    <mergeCell ref="C5:D5"/>
  </mergeCells>
  <printOptions horizontalCentered="1"/>
  <pageMargins left="0.78740157480314965" right="0.78740157480314965" top="1.1811023622047245" bottom="0.78740157480314965" header="0" footer="0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I23"/>
  <sheetViews>
    <sheetView view="pageBreakPreview" zoomScaleNormal="100" zoomScaleSheetLayoutView="100" workbookViewId="0">
      <selection activeCell="J15" sqref="J15"/>
    </sheetView>
  </sheetViews>
  <sheetFormatPr baseColWidth="10" defaultRowHeight="14.4" x14ac:dyDescent="0.3"/>
  <sheetData>
    <row r="1" spans="1:9" s="89" customFormat="1" x14ac:dyDescent="0.3">
      <c r="A1" s="151" t="s">
        <v>47</v>
      </c>
    </row>
    <row r="2" spans="1:9" s="89" customFormat="1" x14ac:dyDescent="0.3"/>
    <row r="3" spans="1:9" s="89" customFormat="1" x14ac:dyDescent="0.3"/>
    <row r="4" spans="1:9" s="89" customFormat="1" x14ac:dyDescent="0.3"/>
    <row r="5" spans="1:9" s="89" customFormat="1" x14ac:dyDescent="0.3"/>
    <row r="6" spans="1:9" x14ac:dyDescent="0.3">
      <c r="A6" s="278" t="s">
        <v>43</v>
      </c>
      <c r="B6" s="278"/>
      <c r="C6" s="279" t="s">
        <v>44</v>
      </c>
      <c r="D6" s="279"/>
      <c r="E6" s="279"/>
      <c r="F6" s="279"/>
      <c r="G6" s="279"/>
      <c r="H6" s="279"/>
      <c r="I6" s="279"/>
    </row>
    <row r="7" spans="1:9" x14ac:dyDescent="0.3">
      <c r="A7" s="152" t="s">
        <v>45</v>
      </c>
      <c r="B7" s="152" t="s">
        <v>46</v>
      </c>
      <c r="C7" s="153">
        <v>2</v>
      </c>
      <c r="D7" s="153">
        <v>5</v>
      </c>
      <c r="E7" s="153">
        <v>10</v>
      </c>
      <c r="F7" s="153">
        <v>25</v>
      </c>
      <c r="G7" s="153">
        <v>50</v>
      </c>
      <c r="H7" s="153">
        <v>100</v>
      </c>
      <c r="I7" s="153" t="s">
        <v>25</v>
      </c>
    </row>
    <row r="8" spans="1:9" x14ac:dyDescent="0.3">
      <c r="A8" s="154">
        <v>24</v>
      </c>
      <c r="B8" s="157">
        <f t="shared" ref="B8:B17" si="0">A8*60</f>
        <v>1440</v>
      </c>
      <c r="C8" s="246">
        <f>'Precipitación diaria'!F10/'Intensidad de precipitacion'!A8</f>
        <v>2.7567539750351808</v>
      </c>
      <c r="D8" s="243">
        <f>'Precipitación diaria'!H10/'Intensidad de precipitacion'!A8</f>
        <v>4.8014729296053114</v>
      </c>
      <c r="E8" s="246">
        <f>'Precipitación diaria'!J10/'Intensidad de precipitacion'!A8</f>
        <v>6.1552547943975346</v>
      </c>
      <c r="F8" s="160">
        <f>'Precipitación diaria'!L10/'Intensidad de precipitacion'!A8</f>
        <v>7.8657617693686559</v>
      </c>
      <c r="G8" s="246">
        <f>'Precipitación diaria'!N10/'Intensidad de precipitacion'!A8</f>
        <v>9.134713557402188</v>
      </c>
      <c r="H8" s="243">
        <f>'Precipitación diaria'!P10/'Intensidad de precipitacion'!A8</f>
        <v>10.394295604621304</v>
      </c>
      <c r="I8" s="249">
        <f>'Precipitación diaria'!R10/'Intensidad de precipitacion'!A8</f>
        <v>13.304997430737336</v>
      </c>
    </row>
    <row r="9" spans="1:9" x14ac:dyDescent="0.3">
      <c r="A9" s="155">
        <v>18</v>
      </c>
      <c r="B9" s="158">
        <f t="shared" si="0"/>
        <v>1080</v>
      </c>
      <c r="C9" s="247">
        <f>'Precipitación diaria'!F11/'Intensidad de precipitacion'!A9</f>
        <v>3.3081047700422168</v>
      </c>
      <c r="D9" s="244">
        <f>'Precipitación diaria'!H11/'Intensidad de precipitacion'!A9</f>
        <v>5.7617675155263743</v>
      </c>
      <c r="E9" s="247">
        <f>'Precipitación diaria'!J11/'Intensidad de precipitacion'!A9</f>
        <v>7.3863057532770409</v>
      </c>
      <c r="F9" s="161">
        <f>'Precipitación diaria'!L11/'Intensidad de precipitacion'!A9</f>
        <v>8.2852690637349848</v>
      </c>
      <c r="G9" s="247">
        <f>'Precipitación diaria'!N11/'Intensidad de precipitacion'!A9</f>
        <v>10.961656268882628</v>
      </c>
      <c r="H9" s="244">
        <f>'Precipitación diaria'!P11/'Intensidad de precipitacion'!A9</f>
        <v>12.473154725545564</v>
      </c>
      <c r="I9" s="250">
        <f>'Precipitación diaria'!R11/'Intensidad de precipitacion'!A9</f>
        <v>15.965996916884803</v>
      </c>
    </row>
    <row r="10" spans="1:9" x14ac:dyDescent="0.3">
      <c r="A10" s="155">
        <v>12</v>
      </c>
      <c r="B10" s="158">
        <f t="shared" si="0"/>
        <v>720</v>
      </c>
      <c r="C10" s="247">
        <f>'Precipitación diaria'!F12/'Intensidad de precipitacion'!A10</f>
        <v>4.3556712805555859</v>
      </c>
      <c r="D10" s="244">
        <f>'Precipitación diaria'!H12/'Intensidad de precipitacion'!A10</f>
        <v>7.5863272287763932</v>
      </c>
      <c r="E10" s="247">
        <f>'Precipitación diaria'!J12/'Intensidad de precipitacion'!A10</f>
        <v>9.7253025751481044</v>
      </c>
      <c r="F10" s="161">
        <f>'Precipitación diaria'!L12/'Intensidad de precipitacion'!A10</f>
        <v>12.427903595602478</v>
      </c>
      <c r="G10" s="247">
        <f>'Precipitación diaria'!N12/'Intensidad de precipitacion'!A10</f>
        <v>14.43284742069546</v>
      </c>
      <c r="H10" s="244">
        <f>'Precipitación diaria'!P12/'Intensidad de precipitacion'!A10</f>
        <v>16.422987055301661</v>
      </c>
      <c r="I10" s="250">
        <f>'Precipitación diaria'!R12/'Intensidad de precipitacion'!A10</f>
        <v>21.021895940564992</v>
      </c>
    </row>
    <row r="11" spans="1:9" x14ac:dyDescent="0.3">
      <c r="A11" s="155">
        <v>8</v>
      </c>
      <c r="B11" s="158">
        <f t="shared" si="0"/>
        <v>480</v>
      </c>
      <c r="C11" s="247">
        <f>'Precipitación diaria'!F13/'Intensidad de precipitacion'!A11</f>
        <v>5.2929676320675467</v>
      </c>
      <c r="D11" s="244">
        <f>'Precipitación diaria'!H13/'Intensidad de precipitacion'!A11</f>
        <v>9.2188280248421979</v>
      </c>
      <c r="E11" s="247">
        <f>'Precipitación diaria'!J13/'Intensidad de precipitacion'!A11</f>
        <v>11.818089205243266</v>
      </c>
      <c r="F11" s="161">
        <f>'Precipitación diaria'!L13/'Intensidad de precipitacion'!A11</f>
        <v>15.102262597187819</v>
      </c>
      <c r="G11" s="247">
        <f>'Precipitación diaria'!N13/'Intensidad de precipitacion'!A11</f>
        <v>17.538650030212203</v>
      </c>
      <c r="H11" s="244">
        <f>'Precipitación diaria'!P13/'Intensidad de precipitacion'!A11</f>
        <v>19.957047560872905</v>
      </c>
      <c r="I11" s="250">
        <f>'Precipitación diaria'!R13/'Intensidad de precipitacion'!A11</f>
        <v>25.545595067015682</v>
      </c>
    </row>
    <row r="12" spans="1:9" x14ac:dyDescent="0.3">
      <c r="A12" s="155">
        <v>6</v>
      </c>
      <c r="B12" s="158">
        <f t="shared" si="0"/>
        <v>360</v>
      </c>
      <c r="C12" s="247">
        <f>'Precipitación diaria'!F14/'Intensidad de precipitacion'!A12</f>
        <v>6.1751289040788047</v>
      </c>
      <c r="D12" s="244">
        <f>'Precipitación diaria'!H14/'Intensidad de precipitacion'!A12</f>
        <v>10.755299362315901</v>
      </c>
      <c r="E12" s="247">
        <f>'Precipitación diaria'!J14/'Intensidad de precipitacion'!A12</f>
        <v>13.787770739450478</v>
      </c>
      <c r="F12" s="161">
        <f>'Precipitación diaria'!L14/'Intensidad de precipitacion'!A12</f>
        <v>17.619306363385792</v>
      </c>
      <c r="G12" s="247">
        <f>'Precipitación diaria'!N14/'Intensidad de precipitacion'!A12</f>
        <v>20.461758368580906</v>
      </c>
      <c r="H12" s="244">
        <f>'Precipitación diaria'!P14/'Intensidad de precipitacion'!A12</f>
        <v>23.283222154351723</v>
      </c>
      <c r="I12" s="250">
        <f>'Precipitación diaria'!R14/'Intensidad de precipitacion'!A12</f>
        <v>29.803194244851635</v>
      </c>
    </row>
    <row r="13" spans="1:9" x14ac:dyDescent="0.3">
      <c r="A13" s="155">
        <v>5</v>
      </c>
      <c r="B13" s="158">
        <f t="shared" si="0"/>
        <v>300</v>
      </c>
      <c r="C13" s="247">
        <f>'Precipitación diaria'!F15/'Intensidad de precipitacion'!A13</f>
        <v>6.6162095400844336</v>
      </c>
      <c r="D13" s="244">
        <f>'Precipitación diaria'!H15/'Intensidad de precipitacion'!A13</f>
        <v>11.523535031052749</v>
      </c>
      <c r="E13" s="247">
        <f>'Precipitación diaria'!J15/'Intensidad de precipitacion'!A13</f>
        <v>14.772611506554082</v>
      </c>
      <c r="F13" s="161">
        <f>'Precipitación diaria'!L15/'Intensidad de precipitacion'!A13</f>
        <v>18.877828246484775</v>
      </c>
      <c r="G13" s="247">
        <f>'Precipitación diaria'!N15/'Intensidad de precipitacion'!A13</f>
        <v>21.923312537765252</v>
      </c>
      <c r="H13" s="244">
        <f>'Precipitación diaria'!P15/'Intensidad de precipitacion'!A13</f>
        <v>24.946309451091132</v>
      </c>
      <c r="I13" s="250">
        <f>'Precipitación diaria'!R15/'Intensidad de precipitacion'!A13</f>
        <v>31.931993833769603</v>
      </c>
    </row>
    <row r="14" spans="1:9" x14ac:dyDescent="0.3">
      <c r="A14" s="155">
        <v>4</v>
      </c>
      <c r="B14" s="158">
        <f t="shared" si="0"/>
        <v>240</v>
      </c>
      <c r="C14" s="247">
        <f>'Precipitación diaria'!F16/'Intensidad de precipitacion'!A14</f>
        <v>7.2778304940928766</v>
      </c>
      <c r="D14" s="244">
        <f>'Precipitación diaria'!H16/'Intensidad de precipitacion'!A14</f>
        <v>12.675888534158023</v>
      </c>
      <c r="E14" s="247">
        <f>'Precipitación diaria'!J16/'Intensidad de precipitacion'!A14</f>
        <v>16.24987265720949</v>
      </c>
      <c r="F14" s="161">
        <f>'Precipitación diaria'!L16/'Intensidad de precipitacion'!A14</f>
        <v>20.76561107113325</v>
      </c>
      <c r="G14" s="247">
        <f>'Precipitación diaria'!N16/'Intensidad de precipitacion'!A14</f>
        <v>24.115643791541778</v>
      </c>
      <c r="H14" s="244">
        <f>'Precipitación diaria'!P16/'Intensidad de precipitacion'!A14</f>
        <v>27.440940396200244</v>
      </c>
      <c r="I14" s="250">
        <f>'Precipitación diaria'!R16/'Intensidad de precipitacion'!A14</f>
        <v>35.125193217146567</v>
      </c>
    </row>
    <row r="15" spans="1:9" x14ac:dyDescent="0.3">
      <c r="A15" s="155">
        <v>3</v>
      </c>
      <c r="B15" s="158">
        <f t="shared" si="0"/>
        <v>180</v>
      </c>
      <c r="C15" s="247">
        <f>'Precipitación diaria'!F17/'Intensidad de precipitacion'!A15</f>
        <v>8.3805320841069495</v>
      </c>
      <c r="D15" s="244">
        <f>'Precipitación diaria'!H17/'Intensidad de precipitacion'!A15</f>
        <v>14.596477706000149</v>
      </c>
      <c r="E15" s="247">
        <f>'Precipitación diaria'!J17/'Intensidad de precipitacion'!A15</f>
        <v>18.711974574968504</v>
      </c>
      <c r="F15" s="161">
        <f>'Precipitación diaria'!L17/'Intensidad de precipitacion'!A15</f>
        <v>23.911915778880712</v>
      </c>
      <c r="G15" s="247">
        <f>'Precipitación diaria'!N17/'Intensidad de precipitacion'!A15</f>
        <v>27.769529214502654</v>
      </c>
      <c r="H15" s="244">
        <f>'Precipitación diaria'!P17/'Intensidad de precipitacion'!A15</f>
        <v>31.598658638048764</v>
      </c>
      <c r="I15" s="250">
        <f>'Precipitación diaria'!R17/'Intensidad de precipitacion'!A15</f>
        <v>40.447192189441502</v>
      </c>
    </row>
    <row r="16" spans="1:9" x14ac:dyDescent="0.3">
      <c r="A16" s="155">
        <v>2</v>
      </c>
      <c r="B16" s="158">
        <f t="shared" si="0"/>
        <v>120</v>
      </c>
      <c r="C16" s="247">
        <f>'Precipitación diaria'!F18/'Intensidad de precipitacion'!A16</f>
        <v>10.255124787130873</v>
      </c>
      <c r="D16" s="244">
        <f>'Precipitación diaria'!H18/'Intensidad de precipitacion'!A16</f>
        <v>17.861479298131758</v>
      </c>
      <c r="E16" s="247">
        <f>'Precipitación diaria'!J18/'Intensidad de precipitacion'!A16</f>
        <v>22.897547835158829</v>
      </c>
      <c r="F16" s="161">
        <f>'Precipitación diaria'!L18/'Intensidad de precipitacion'!A16</f>
        <v>29.2606337820514</v>
      </c>
      <c r="G16" s="247">
        <f>'Precipitación diaria'!N18/'Intensidad de precipitacion'!A16</f>
        <v>33.981134433536141</v>
      </c>
      <c r="H16" s="244">
        <f>'Precipitación diaria'!P18/'Intensidad de precipitacion'!A16</f>
        <v>38.666779649191255</v>
      </c>
      <c r="I16" s="250">
        <f>'Precipitación diaria'!R18/'Intensidad de precipitacion'!A16</f>
        <v>49.49459044234289</v>
      </c>
    </row>
    <row r="17" spans="1:9" x14ac:dyDescent="0.3">
      <c r="A17" s="156">
        <v>1</v>
      </c>
      <c r="B17" s="159">
        <f t="shared" si="0"/>
        <v>60</v>
      </c>
      <c r="C17" s="248">
        <f>'Precipitación diaria'!F19/'Intensidad de precipitacion'!A17</f>
        <v>16.540523850211084</v>
      </c>
      <c r="D17" s="245">
        <f>'Precipitación diaria'!H19/'Intensidad de precipitacion'!A17</f>
        <v>28.80883757763187</v>
      </c>
      <c r="E17" s="248">
        <f>'Precipitación diaria'!J19/'Intensidad de precipitacion'!A17</f>
        <v>36.931528766385206</v>
      </c>
      <c r="F17" s="162">
        <f>'Precipitación diaria'!L19/'Intensidad de precipitacion'!A17</f>
        <v>47.194570616211934</v>
      </c>
      <c r="G17" s="248">
        <f>'Precipitación diaria'!N19/'Intensidad de precipitacion'!A17</f>
        <v>54.808281344413132</v>
      </c>
      <c r="H17" s="245">
        <f>'Precipitación diaria'!P19/'Intensidad de precipitacion'!A17</f>
        <v>62.365773627727826</v>
      </c>
      <c r="I17" s="251">
        <f>'Precipitación diaria'!R19/'Intensidad de precipitacion'!A17</f>
        <v>79.829984584424011</v>
      </c>
    </row>
    <row r="22" spans="1:9" x14ac:dyDescent="0.3">
      <c r="B22" s="3"/>
      <c r="C22" s="3"/>
      <c r="D22" s="3"/>
      <c r="E22" s="3"/>
      <c r="F22" s="3"/>
      <c r="G22" s="3"/>
      <c r="H22" s="3"/>
      <c r="I22" s="3"/>
    </row>
    <row r="23" spans="1:9" x14ac:dyDescent="0.3">
      <c r="A23" s="4"/>
      <c r="B23" s="4"/>
      <c r="C23" s="4"/>
      <c r="D23" s="4"/>
      <c r="E23" s="4"/>
      <c r="F23" s="4"/>
      <c r="G23" s="4"/>
      <c r="H23" s="4"/>
      <c r="I23" s="4"/>
    </row>
  </sheetData>
  <mergeCells count="2">
    <mergeCell ref="A6:B6"/>
    <mergeCell ref="C6:I6"/>
  </mergeCells>
  <printOptions horizontalCentered="1"/>
  <pageMargins left="0.78740157480314965" right="0.78740157480314965" top="1.1811023622047245" bottom="0.78740157480314965" header="0" footer="0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</sheetPr>
  <dimension ref="A1:L343"/>
  <sheetViews>
    <sheetView view="pageBreakPreview" topLeftCell="A283" zoomScaleNormal="100" zoomScaleSheetLayoutView="100" workbookViewId="0">
      <selection activeCell="A116" sqref="A116"/>
    </sheetView>
  </sheetViews>
  <sheetFormatPr baseColWidth="10" defaultRowHeight="14.4" x14ac:dyDescent="0.3"/>
  <cols>
    <col min="1" max="1" width="10.109375" customWidth="1"/>
    <col min="3" max="3" width="12.33203125" customWidth="1"/>
    <col min="8" max="12" width="11.44140625" style="89"/>
  </cols>
  <sheetData>
    <row r="1" spans="1:10" s="89" customFormat="1" x14ac:dyDescent="0.3">
      <c r="A1" s="286" t="s">
        <v>97</v>
      </c>
      <c r="B1" s="286"/>
      <c r="C1" s="286"/>
      <c r="D1" s="286"/>
      <c r="E1" s="286"/>
      <c r="F1" s="286"/>
      <c r="G1" s="286"/>
    </row>
    <row r="2" spans="1:10" s="89" customFormat="1" x14ac:dyDescent="0.3"/>
    <row r="3" spans="1:10" s="89" customFormat="1" x14ac:dyDescent="0.3">
      <c r="A3" s="91"/>
      <c r="B3" s="90"/>
      <c r="C3" s="90"/>
      <c r="D3" s="90"/>
      <c r="E3" s="90"/>
      <c r="F3" s="90"/>
      <c r="G3" s="90"/>
    </row>
    <row r="4" spans="1:10" s="89" customFormat="1" x14ac:dyDescent="0.3">
      <c r="A4" s="91"/>
      <c r="B4" s="90"/>
      <c r="C4" s="90"/>
      <c r="D4" s="90"/>
      <c r="E4" s="90"/>
      <c r="F4" s="90"/>
      <c r="G4" s="90"/>
    </row>
    <row r="5" spans="1:10" s="89" customFormat="1" x14ac:dyDescent="0.3">
      <c r="A5" s="90" t="s">
        <v>87</v>
      </c>
      <c r="B5" s="90"/>
      <c r="C5" s="90"/>
      <c r="D5" s="90"/>
      <c r="E5" s="90"/>
      <c r="F5" s="90"/>
      <c r="G5" s="90"/>
    </row>
    <row r="6" spans="1:10" s="89" customFormat="1" x14ac:dyDescent="0.3">
      <c r="A6" s="90"/>
      <c r="B6" s="90" t="s">
        <v>74</v>
      </c>
      <c r="C6" s="90" t="s">
        <v>73</v>
      </c>
      <c r="D6" s="90"/>
      <c r="E6" s="90"/>
      <c r="F6" s="90"/>
      <c r="G6" s="90"/>
    </row>
    <row r="7" spans="1:10" s="89" customFormat="1" x14ac:dyDescent="0.3">
      <c r="A7" s="90"/>
      <c r="B7" s="90" t="s">
        <v>72</v>
      </c>
      <c r="C7" s="90" t="s">
        <v>71</v>
      </c>
      <c r="D7" s="90"/>
      <c r="E7" s="90"/>
      <c r="F7" s="90"/>
      <c r="G7" s="90"/>
    </row>
    <row r="8" spans="1:10" s="89" customFormat="1" x14ac:dyDescent="0.3">
      <c r="A8" s="90"/>
      <c r="B8" s="90" t="s">
        <v>70</v>
      </c>
      <c r="C8" s="90" t="s">
        <v>69</v>
      </c>
      <c r="D8" s="90"/>
      <c r="E8" s="90"/>
      <c r="F8" s="90"/>
      <c r="G8" s="90"/>
    </row>
    <row r="9" spans="1:10" s="89" customFormat="1" x14ac:dyDescent="0.3">
      <c r="A9" s="90"/>
      <c r="B9" s="90" t="s">
        <v>100</v>
      </c>
      <c r="C9" s="90" t="s">
        <v>68</v>
      </c>
      <c r="D9" s="90"/>
      <c r="E9" s="90"/>
      <c r="F9" s="90"/>
      <c r="G9" s="90"/>
    </row>
    <row r="10" spans="1:10" s="89" customFormat="1" x14ac:dyDescent="0.3">
      <c r="E10" s="90"/>
      <c r="F10" s="90"/>
      <c r="G10" s="90"/>
    </row>
    <row r="11" spans="1:10" s="89" customFormat="1" x14ac:dyDescent="0.3">
      <c r="A11" s="92" t="s">
        <v>67</v>
      </c>
      <c r="B11" s="90"/>
      <c r="C11" s="90"/>
      <c r="D11" s="90"/>
      <c r="E11" s="90"/>
      <c r="F11" s="90"/>
      <c r="G11" s="90"/>
    </row>
    <row r="12" spans="1:10" s="89" customFormat="1" x14ac:dyDescent="0.3">
      <c r="E12" s="90"/>
      <c r="F12" s="90"/>
      <c r="G12" s="90"/>
      <c r="I12" s="111"/>
      <c r="J12" s="111"/>
    </row>
    <row r="13" spans="1:10" s="89" customFormat="1" x14ac:dyDescent="0.3">
      <c r="B13" s="90"/>
      <c r="C13" s="90"/>
      <c r="D13" s="90"/>
      <c r="E13" s="90"/>
      <c r="F13" s="90"/>
      <c r="G13" s="90"/>
    </row>
    <row r="14" spans="1:10" s="89" customFormat="1" x14ac:dyDescent="0.3">
      <c r="A14" s="92" t="s">
        <v>98</v>
      </c>
      <c r="B14" s="90"/>
      <c r="C14" s="90"/>
      <c r="D14" s="90"/>
      <c r="E14" s="90"/>
      <c r="F14" s="90"/>
      <c r="G14" s="90"/>
    </row>
    <row r="15" spans="1:10" s="89" customFormat="1" x14ac:dyDescent="0.3">
      <c r="A15" s="90"/>
      <c r="B15" s="90"/>
      <c r="C15" s="90"/>
      <c r="D15" s="90"/>
      <c r="E15" s="90"/>
      <c r="F15" s="90"/>
      <c r="G15" s="90"/>
    </row>
    <row r="16" spans="1:10" s="89" customFormat="1" x14ac:dyDescent="0.3"/>
    <row r="17" spans="1:10" s="89" customFormat="1" ht="15" thickBot="1" x14ac:dyDescent="0.35"/>
    <row r="18" spans="1:10" s="89" customFormat="1" ht="16.2" thickBot="1" x14ac:dyDescent="0.35">
      <c r="A18" s="283" t="s">
        <v>66</v>
      </c>
      <c r="B18" s="284"/>
      <c r="C18" s="284"/>
      <c r="D18" s="284"/>
      <c r="E18" s="284"/>
      <c r="F18" s="284"/>
      <c r="G18" s="285"/>
      <c r="H18" s="93"/>
      <c r="I18" s="281" t="s">
        <v>65</v>
      </c>
      <c r="J18" s="282"/>
    </row>
    <row r="19" spans="1:10" s="89" customFormat="1" ht="15" thickBot="1" x14ac:dyDescent="0.35">
      <c r="A19" s="41" t="s">
        <v>37</v>
      </c>
      <c r="B19" s="42" t="s">
        <v>49</v>
      </c>
      <c r="C19" s="42" t="s">
        <v>48</v>
      </c>
      <c r="D19" s="42" t="s">
        <v>53</v>
      </c>
      <c r="E19" s="42" t="s">
        <v>52</v>
      </c>
      <c r="F19" s="42" t="s">
        <v>51</v>
      </c>
      <c r="G19" s="43" t="s">
        <v>50</v>
      </c>
      <c r="H19" s="93"/>
      <c r="I19" s="94" t="s">
        <v>49</v>
      </c>
      <c r="J19" s="95" t="s">
        <v>48</v>
      </c>
    </row>
    <row r="20" spans="1:10" s="89" customFormat="1" x14ac:dyDescent="0.3">
      <c r="A20" s="44">
        <v>1</v>
      </c>
      <c r="B20" s="30">
        <v>1440</v>
      </c>
      <c r="C20" s="36">
        <f>'Intensidad de precipitacion'!C8</f>
        <v>2.7567539750351808</v>
      </c>
      <c r="D20" s="12">
        <f t="shared" ref="D20:D29" si="0">IF(A20="","",LN(B20))</f>
        <v>7.2723983925700466</v>
      </c>
      <c r="E20" s="12">
        <f t="shared" ref="E20:E29" si="1">IF(B20="","",LN(C20))</f>
        <v>1.0140538915836717</v>
      </c>
      <c r="F20" s="12">
        <f t="shared" ref="F20:F29" si="2">IF(A20="","",D20*E20)</f>
        <v>7.3746038911324936</v>
      </c>
      <c r="G20" s="33">
        <f t="shared" ref="G20:G29" si="3">IF(B20="","",D20^2)</f>
        <v>52.887778380255398</v>
      </c>
      <c r="I20" s="96">
        <f t="shared" ref="I20:I29" si="4">B20</f>
        <v>1440</v>
      </c>
      <c r="J20" s="97">
        <f t="shared" ref="J20:J29" si="5">C20</f>
        <v>2.7567539750351808</v>
      </c>
    </row>
    <row r="21" spans="1:10" s="89" customFormat="1" x14ac:dyDescent="0.3">
      <c r="A21" s="45">
        <f t="shared" ref="A21:A29" si="6">A20+1</f>
        <v>2</v>
      </c>
      <c r="B21" s="37">
        <v>1080</v>
      </c>
      <c r="C21" s="38">
        <f>'Intensidad de precipitacion'!C9</f>
        <v>3.3081047700422168</v>
      </c>
      <c r="D21" s="13">
        <f t="shared" si="0"/>
        <v>6.9847163201182658</v>
      </c>
      <c r="E21" s="13">
        <f t="shared" si="1"/>
        <v>1.1963754483776263</v>
      </c>
      <c r="F21" s="13">
        <f t="shared" si="2"/>
        <v>8.3563431192720152</v>
      </c>
      <c r="G21" s="34">
        <f t="shared" si="3"/>
        <v>48.786262072526448</v>
      </c>
      <c r="I21" s="96">
        <f>B21</f>
        <v>1080</v>
      </c>
      <c r="J21" s="97">
        <f t="shared" si="5"/>
        <v>3.3081047700422168</v>
      </c>
    </row>
    <row r="22" spans="1:10" s="89" customFormat="1" x14ac:dyDescent="0.3">
      <c r="A22" s="45">
        <f t="shared" si="6"/>
        <v>3</v>
      </c>
      <c r="B22" s="37">
        <v>720</v>
      </c>
      <c r="C22" s="38">
        <f>'Intensidad de precipitacion'!C10</f>
        <v>4.3556712805555859</v>
      </c>
      <c r="D22" s="13">
        <f t="shared" si="0"/>
        <v>6.5792512120101012</v>
      </c>
      <c r="E22" s="13">
        <f t="shared" si="1"/>
        <v>1.4714787386225472</v>
      </c>
      <c r="F22" s="13">
        <f t="shared" si="2"/>
        <v>9.681228274529488</v>
      </c>
      <c r="G22" s="34">
        <f t="shared" si="3"/>
        <v>43.286546510736386</v>
      </c>
      <c r="I22" s="96">
        <f t="shared" si="4"/>
        <v>720</v>
      </c>
      <c r="J22" s="97">
        <f t="shared" si="5"/>
        <v>4.3556712805555859</v>
      </c>
    </row>
    <row r="23" spans="1:10" s="89" customFormat="1" x14ac:dyDescent="0.3">
      <c r="A23" s="45">
        <f t="shared" si="6"/>
        <v>4</v>
      </c>
      <c r="B23" s="37">
        <v>480</v>
      </c>
      <c r="C23" s="38">
        <f>'Intensidad de precipitacion'!C11</f>
        <v>5.2929676320675467</v>
      </c>
      <c r="D23" s="13">
        <f t="shared" si="0"/>
        <v>6.1737861039019366</v>
      </c>
      <c r="E23" s="13">
        <f t="shared" si="1"/>
        <v>1.6663790776233618</v>
      </c>
      <c r="F23" s="13">
        <f t="shared" si="2"/>
        <v>10.287867993264038</v>
      </c>
      <c r="G23" s="34">
        <f t="shared" si="3"/>
        <v>38.115634856732655</v>
      </c>
      <c r="I23" s="96">
        <f t="shared" si="4"/>
        <v>480</v>
      </c>
      <c r="J23" s="97">
        <f t="shared" si="5"/>
        <v>5.2929676320675467</v>
      </c>
    </row>
    <row r="24" spans="1:10" s="89" customFormat="1" x14ac:dyDescent="0.3">
      <c r="A24" s="45">
        <f t="shared" si="6"/>
        <v>5</v>
      </c>
      <c r="B24" s="37">
        <v>360</v>
      </c>
      <c r="C24" s="38">
        <f>'Intensidad de precipitacion'!C12</f>
        <v>6.1751289040788047</v>
      </c>
      <c r="D24" s="13">
        <f t="shared" si="0"/>
        <v>5.8861040314501558</v>
      </c>
      <c r="E24" s="13">
        <f t="shared" si="1"/>
        <v>1.8205297574506203</v>
      </c>
      <c r="F24" s="13">
        <f t="shared" si="2"/>
        <v>10.715827544705071</v>
      </c>
      <c r="G24" s="34">
        <f t="shared" si="3"/>
        <v>34.646220669053776</v>
      </c>
      <c r="I24" s="96">
        <f t="shared" si="4"/>
        <v>360</v>
      </c>
      <c r="J24" s="97">
        <f t="shared" si="5"/>
        <v>6.1751289040788047</v>
      </c>
    </row>
    <row r="25" spans="1:10" s="89" customFormat="1" x14ac:dyDescent="0.3">
      <c r="A25" s="45">
        <f t="shared" si="6"/>
        <v>6</v>
      </c>
      <c r="B25" s="37">
        <v>300</v>
      </c>
      <c r="C25" s="38">
        <f>'Intensidad de precipitacion'!C13</f>
        <v>6.6162095400844336</v>
      </c>
      <c r="D25" s="13">
        <f t="shared" si="0"/>
        <v>5.7037824746562009</v>
      </c>
      <c r="E25" s="13">
        <f t="shared" si="1"/>
        <v>1.8895226289375717</v>
      </c>
      <c r="F25" s="13">
        <f t="shared" si="2"/>
        <v>10.777426056400433</v>
      </c>
      <c r="G25" s="34">
        <f t="shared" si="3"/>
        <v>32.533134518195219</v>
      </c>
      <c r="I25" s="96">
        <f t="shared" si="4"/>
        <v>300</v>
      </c>
      <c r="J25" s="97">
        <f t="shared" si="5"/>
        <v>6.6162095400844336</v>
      </c>
    </row>
    <row r="26" spans="1:10" s="89" customFormat="1" x14ac:dyDescent="0.3">
      <c r="A26" s="45">
        <f t="shared" si="6"/>
        <v>7</v>
      </c>
      <c r="B26" s="37">
        <v>240</v>
      </c>
      <c r="C26" s="38">
        <f>'Intensidad de precipitacion'!C14</f>
        <v>7.2778304940928766</v>
      </c>
      <c r="D26" s="13">
        <f t="shared" si="0"/>
        <v>5.4806389233419912</v>
      </c>
      <c r="E26" s="13">
        <f t="shared" si="1"/>
        <v>1.9848328087418965</v>
      </c>
      <c r="F26" s="13">
        <f t="shared" si="2"/>
        <v>10.878151947917049</v>
      </c>
      <c r="G26" s="34">
        <f t="shared" si="3"/>
        <v>30.03740300805126</v>
      </c>
      <c r="I26" s="96">
        <f t="shared" si="4"/>
        <v>240</v>
      </c>
      <c r="J26" s="97">
        <f t="shared" si="5"/>
        <v>7.2778304940928766</v>
      </c>
    </row>
    <row r="27" spans="1:10" s="89" customFormat="1" x14ac:dyDescent="0.3">
      <c r="A27" s="45">
        <f t="shared" si="6"/>
        <v>8</v>
      </c>
      <c r="B27" s="37">
        <v>180</v>
      </c>
      <c r="C27" s="38">
        <f>'Intensidad de precipitacion'!C15</f>
        <v>8.3805320841069495</v>
      </c>
      <c r="D27" s="13">
        <f t="shared" si="0"/>
        <v>5.1929568508902104</v>
      </c>
      <c r="E27" s="13">
        <f t="shared" si="1"/>
        <v>2.1259114070018019</v>
      </c>
      <c r="F27" s="13">
        <f t="shared" si="2"/>
        <v>11.039766205375654</v>
      </c>
      <c r="G27" s="34">
        <f t="shared" si="3"/>
        <v>26.96680085520757</v>
      </c>
      <c r="I27" s="96">
        <f t="shared" si="4"/>
        <v>180</v>
      </c>
      <c r="J27" s="97">
        <f t="shared" si="5"/>
        <v>8.3805320841069495</v>
      </c>
    </row>
    <row r="28" spans="1:10" s="89" customFormat="1" x14ac:dyDescent="0.3">
      <c r="A28" s="45">
        <f t="shared" si="6"/>
        <v>9</v>
      </c>
      <c r="B28" s="37">
        <v>120</v>
      </c>
      <c r="C28" s="38">
        <f>'Intensidad de precipitacion'!C16</f>
        <v>10.255124787130873</v>
      </c>
      <c r="D28" s="13">
        <f t="shared" si="0"/>
        <v>4.7874917427820458</v>
      </c>
      <c r="E28" s="13">
        <f t="shared" si="1"/>
        <v>2.3277775598687271</v>
      </c>
      <c r="F28" s="13">
        <f t="shared" si="2"/>
        <v>11.144215846904871</v>
      </c>
      <c r="G28" s="34">
        <f t="shared" si="3"/>
        <v>22.920077187206271</v>
      </c>
      <c r="I28" s="96">
        <f t="shared" si="4"/>
        <v>120</v>
      </c>
      <c r="J28" s="97">
        <f t="shared" si="5"/>
        <v>10.255124787130873</v>
      </c>
    </row>
    <row r="29" spans="1:10" s="89" customFormat="1" ht="15" thickBot="1" x14ac:dyDescent="0.35">
      <c r="A29" s="18">
        <f t="shared" si="6"/>
        <v>10</v>
      </c>
      <c r="B29" s="39">
        <v>60</v>
      </c>
      <c r="C29" s="40">
        <f>'Intensidad de precipitacion'!C17</f>
        <v>16.540523850211084</v>
      </c>
      <c r="D29" s="14">
        <f t="shared" si="0"/>
        <v>4.0943445622221004</v>
      </c>
      <c r="E29" s="14">
        <f t="shared" si="1"/>
        <v>2.8058133608117268</v>
      </c>
      <c r="F29" s="14">
        <f t="shared" si="2"/>
        <v>11.487966676449609</v>
      </c>
      <c r="G29" s="35">
        <f t="shared" si="3"/>
        <v>16.763657394197683</v>
      </c>
      <c r="I29" s="96">
        <f t="shared" si="4"/>
        <v>60</v>
      </c>
      <c r="J29" s="97">
        <f t="shared" si="5"/>
        <v>16.540523850211084</v>
      </c>
    </row>
    <row r="30" spans="1:10" s="89" customFormat="1" ht="15" thickBot="1" x14ac:dyDescent="0.35">
      <c r="A30" s="52">
        <f>COUNT(A20:A29)</f>
        <v>10</v>
      </c>
      <c r="B30" s="31">
        <f t="shared" ref="B30:G30" si="7">SUM(B20:B29)</f>
        <v>4980</v>
      </c>
      <c r="C30" s="32">
        <f t="shared" si="7"/>
        <v>70.958847317405557</v>
      </c>
      <c r="D30" s="56">
        <f>SUM(D20:D29)</f>
        <v>58.155470613943052</v>
      </c>
      <c r="E30" s="56">
        <f t="shared" si="7"/>
        <v>18.30267467901955</v>
      </c>
      <c r="F30" s="56">
        <f t="shared" si="7"/>
        <v>101.74339755595074</v>
      </c>
      <c r="G30" s="100">
        <f t="shared" si="7"/>
        <v>346.94351545216267</v>
      </c>
    </row>
    <row r="31" spans="1:10" s="89" customFormat="1" ht="15" thickBot="1" x14ac:dyDescent="0.35">
      <c r="A31" s="46" t="s">
        <v>96</v>
      </c>
      <c r="B31" s="47">
        <f>((F30*D30)-(G30*E30))/((D30^2)-(G30*A30))</f>
        <v>4.9562486813916697</v>
      </c>
      <c r="C31" s="48" t="s">
        <v>95</v>
      </c>
      <c r="D31" s="49">
        <f>EXP(B31)</f>
        <v>142.05988320144218</v>
      </c>
      <c r="E31" s="50" t="s">
        <v>101</v>
      </c>
      <c r="F31" s="47">
        <f>(E30-(A30*B31))/D30</f>
        <v>-0.53752143701855726</v>
      </c>
      <c r="G31" s="51"/>
      <c r="H31" s="93"/>
      <c r="I31" s="91"/>
    </row>
    <row r="32" spans="1:10" s="89" customFormat="1" x14ac:dyDescent="0.3">
      <c r="A32" s="106"/>
      <c r="B32" s="107"/>
      <c r="C32" s="108"/>
      <c r="D32" s="107"/>
      <c r="E32" s="108"/>
      <c r="F32" s="107"/>
      <c r="G32" s="109"/>
      <c r="H32" s="93"/>
      <c r="I32" s="91"/>
    </row>
    <row r="33" spans="1:9" s="89" customFormat="1" x14ac:dyDescent="0.3">
      <c r="A33" s="106"/>
      <c r="B33" s="107"/>
      <c r="C33" s="108"/>
      <c r="D33" s="107"/>
      <c r="E33" s="108"/>
      <c r="F33" s="107"/>
      <c r="G33" s="109"/>
      <c r="H33" s="93"/>
      <c r="I33" s="91"/>
    </row>
    <row r="34" spans="1:9" s="89" customFormat="1" x14ac:dyDescent="0.3">
      <c r="A34" s="106"/>
      <c r="B34" s="107"/>
      <c r="C34" s="108"/>
      <c r="D34" s="107"/>
      <c r="E34" s="108"/>
      <c r="F34" s="107"/>
      <c r="G34" s="109"/>
      <c r="H34" s="93"/>
      <c r="I34" s="91"/>
    </row>
    <row r="35" spans="1:9" s="89" customFormat="1" x14ac:dyDescent="0.3">
      <c r="A35" s="106"/>
      <c r="B35" s="107"/>
      <c r="C35" s="108"/>
      <c r="D35" s="107"/>
      <c r="E35" s="108"/>
      <c r="F35" s="107"/>
      <c r="G35" s="109"/>
      <c r="H35" s="93"/>
      <c r="I35" s="91"/>
    </row>
    <row r="36" spans="1:9" s="89" customFormat="1" x14ac:dyDescent="0.3">
      <c r="A36" s="106"/>
      <c r="B36" s="107"/>
      <c r="C36" s="108"/>
      <c r="D36" s="107"/>
      <c r="E36" s="108"/>
      <c r="F36" s="107"/>
      <c r="G36" s="109"/>
      <c r="H36" s="93"/>
      <c r="I36" s="91"/>
    </row>
    <row r="37" spans="1:9" s="89" customFormat="1" x14ac:dyDescent="0.3">
      <c r="A37" s="106"/>
      <c r="B37" s="107"/>
      <c r="C37" s="108"/>
      <c r="D37" s="107"/>
      <c r="E37" s="108"/>
      <c r="F37" s="107"/>
      <c r="G37" s="109"/>
      <c r="H37" s="93"/>
      <c r="I37" s="91"/>
    </row>
    <row r="38" spans="1:9" s="89" customFormat="1" x14ac:dyDescent="0.3">
      <c r="A38" s="106"/>
      <c r="B38" s="107"/>
      <c r="C38" s="108"/>
      <c r="D38" s="107"/>
      <c r="E38" s="108"/>
      <c r="F38" s="107"/>
      <c r="G38" s="109"/>
      <c r="H38" s="93"/>
      <c r="I38" s="91"/>
    </row>
    <row r="39" spans="1:9" s="89" customFormat="1" x14ac:dyDescent="0.3">
      <c r="A39" s="106"/>
      <c r="B39" s="107"/>
      <c r="C39" s="108"/>
      <c r="D39" s="107"/>
      <c r="E39" s="108"/>
      <c r="F39" s="107"/>
      <c r="G39" s="109"/>
      <c r="H39" s="93"/>
      <c r="I39" s="91"/>
    </row>
    <row r="40" spans="1:9" s="89" customFormat="1" x14ac:dyDescent="0.3">
      <c r="A40" s="106"/>
      <c r="B40" s="107"/>
      <c r="C40" s="108"/>
      <c r="D40" s="107"/>
      <c r="E40" s="108"/>
      <c r="F40" s="107"/>
      <c r="G40" s="109"/>
      <c r="H40" s="93"/>
      <c r="I40" s="91"/>
    </row>
    <row r="41" spans="1:9" s="89" customFormat="1" x14ac:dyDescent="0.3">
      <c r="A41" s="106"/>
      <c r="B41" s="107"/>
      <c r="C41" s="108"/>
      <c r="D41" s="107"/>
      <c r="E41" s="108"/>
      <c r="F41" s="107"/>
      <c r="G41" s="109"/>
      <c r="H41" s="93"/>
      <c r="I41" s="91"/>
    </row>
    <row r="42" spans="1:9" s="89" customFormat="1" x14ac:dyDescent="0.3">
      <c r="A42" s="106"/>
      <c r="B42" s="107"/>
      <c r="C42" s="108"/>
      <c r="D42" s="107"/>
      <c r="E42" s="108"/>
      <c r="F42" s="107"/>
      <c r="G42" s="109"/>
      <c r="H42" s="93"/>
      <c r="I42" s="91"/>
    </row>
    <row r="43" spans="1:9" s="89" customFormat="1" x14ac:dyDescent="0.3">
      <c r="A43" s="106"/>
      <c r="B43" s="107"/>
      <c r="C43" s="108"/>
      <c r="D43" s="107"/>
      <c r="E43" s="108"/>
      <c r="F43" s="107"/>
      <c r="G43" s="109"/>
      <c r="H43" s="93"/>
      <c r="I43" s="91"/>
    </row>
    <row r="44" spans="1:9" s="89" customFormat="1" x14ac:dyDescent="0.3">
      <c r="A44" s="106"/>
      <c r="B44" s="107"/>
      <c r="C44" s="108"/>
      <c r="D44" s="107"/>
      <c r="E44" s="108"/>
      <c r="F44" s="107"/>
      <c r="G44" s="109"/>
      <c r="H44" s="93"/>
      <c r="I44" s="91"/>
    </row>
    <row r="45" spans="1:9" s="89" customFormat="1" x14ac:dyDescent="0.3">
      <c r="A45" s="106"/>
      <c r="B45" s="107"/>
      <c r="C45" s="108"/>
      <c r="D45" s="107"/>
      <c r="E45" s="108"/>
      <c r="F45" s="107"/>
      <c r="G45" s="109"/>
      <c r="H45" s="93"/>
      <c r="I45" s="91"/>
    </row>
    <row r="46" spans="1:9" s="89" customFormat="1" x14ac:dyDescent="0.3">
      <c r="A46" s="106"/>
      <c r="B46" s="107"/>
      <c r="C46" s="108"/>
      <c r="D46" s="107"/>
      <c r="E46" s="108"/>
      <c r="F46" s="107"/>
      <c r="G46" s="109"/>
      <c r="H46" s="93"/>
      <c r="I46" s="91"/>
    </row>
    <row r="47" spans="1:9" s="89" customFormat="1" x14ac:dyDescent="0.3">
      <c r="A47" s="106"/>
      <c r="B47" s="107"/>
      <c r="C47" s="108"/>
      <c r="D47" s="107"/>
      <c r="E47" s="108"/>
      <c r="F47" s="107"/>
      <c r="G47" s="109"/>
      <c r="H47" s="93"/>
      <c r="I47" s="91"/>
    </row>
    <row r="48" spans="1:9" s="89" customFormat="1" x14ac:dyDescent="0.3">
      <c r="A48" s="106"/>
      <c r="B48" s="107"/>
      <c r="C48" s="108"/>
      <c r="D48" s="107"/>
      <c r="E48" s="108"/>
      <c r="F48" s="107"/>
      <c r="G48" s="109"/>
      <c r="H48" s="93"/>
      <c r="I48" s="91"/>
    </row>
    <row r="49" spans="1:9" s="89" customFormat="1" x14ac:dyDescent="0.3">
      <c r="A49" s="106"/>
      <c r="B49" s="107"/>
      <c r="C49" s="108"/>
      <c r="D49" s="107"/>
      <c r="E49" s="108"/>
      <c r="F49" s="107"/>
      <c r="G49" s="109"/>
      <c r="H49" s="93"/>
      <c r="I49" s="91"/>
    </row>
    <row r="50" spans="1:9" s="89" customFormat="1" x14ac:dyDescent="0.3">
      <c r="A50" s="286" t="s">
        <v>97</v>
      </c>
      <c r="B50" s="286"/>
      <c r="C50" s="286"/>
      <c r="D50" s="286"/>
      <c r="E50" s="286"/>
      <c r="F50" s="286"/>
      <c r="G50" s="286"/>
      <c r="H50" s="93"/>
      <c r="I50" s="91"/>
    </row>
    <row r="51" spans="1:9" s="89" customFormat="1" x14ac:dyDescent="0.3">
      <c r="H51" s="93"/>
      <c r="I51" s="91"/>
    </row>
    <row r="52" spans="1:9" s="89" customFormat="1" x14ac:dyDescent="0.3">
      <c r="A52" s="91"/>
      <c r="B52" s="90"/>
      <c r="C52" s="90"/>
      <c r="D52" s="90"/>
      <c r="E52" s="90"/>
      <c r="F52" s="90"/>
      <c r="G52" s="90"/>
      <c r="H52" s="93"/>
      <c r="I52" s="91"/>
    </row>
    <row r="53" spans="1:9" s="89" customFormat="1" x14ac:dyDescent="0.3">
      <c r="A53" s="91"/>
      <c r="B53" s="90"/>
      <c r="C53" s="90"/>
      <c r="D53" s="90"/>
      <c r="E53" s="90"/>
      <c r="F53" s="90"/>
      <c r="G53" s="90"/>
      <c r="H53" s="93"/>
      <c r="I53" s="91"/>
    </row>
    <row r="54" spans="1:9" s="89" customFormat="1" x14ac:dyDescent="0.3">
      <c r="A54" s="90" t="s">
        <v>87</v>
      </c>
      <c r="B54" s="90"/>
      <c r="C54" s="90"/>
      <c r="D54" s="90"/>
      <c r="E54" s="90"/>
      <c r="F54" s="90"/>
      <c r="G54" s="90"/>
      <c r="H54" s="93"/>
      <c r="I54" s="91"/>
    </row>
    <row r="55" spans="1:9" s="89" customFormat="1" x14ac:dyDescent="0.3">
      <c r="A55" s="90"/>
      <c r="B55" s="90" t="s">
        <v>74</v>
      </c>
      <c r="C55" s="90" t="s">
        <v>73</v>
      </c>
      <c r="D55" s="90"/>
      <c r="E55" s="90"/>
      <c r="F55" s="90"/>
      <c r="G55" s="90"/>
      <c r="H55" s="93"/>
      <c r="I55" s="91"/>
    </row>
    <row r="56" spans="1:9" s="89" customFormat="1" x14ac:dyDescent="0.3">
      <c r="A56" s="90"/>
      <c r="B56" s="90" t="s">
        <v>72</v>
      </c>
      <c r="C56" s="90" t="s">
        <v>71</v>
      </c>
      <c r="D56" s="90"/>
      <c r="E56" s="90"/>
      <c r="F56" s="90"/>
      <c r="G56" s="90"/>
      <c r="H56" s="93"/>
      <c r="I56" s="91"/>
    </row>
    <row r="57" spans="1:9" s="89" customFormat="1" x14ac:dyDescent="0.3">
      <c r="A57" s="90"/>
      <c r="B57" s="90" t="s">
        <v>70</v>
      </c>
      <c r="C57" s="90" t="s">
        <v>69</v>
      </c>
      <c r="D57" s="90"/>
      <c r="E57" s="90"/>
      <c r="F57" s="90"/>
      <c r="G57" s="90"/>
      <c r="H57" s="93"/>
      <c r="I57" s="91"/>
    </row>
    <row r="58" spans="1:9" s="89" customFormat="1" x14ac:dyDescent="0.3">
      <c r="A58" s="90"/>
      <c r="B58" s="90" t="s">
        <v>100</v>
      </c>
      <c r="C58" s="90" t="s">
        <v>68</v>
      </c>
      <c r="D58" s="90"/>
      <c r="E58" s="90"/>
      <c r="F58" s="90"/>
      <c r="G58" s="90"/>
      <c r="H58" s="93"/>
      <c r="I58" s="91"/>
    </row>
    <row r="59" spans="1:9" s="89" customFormat="1" x14ac:dyDescent="0.3">
      <c r="E59" s="90"/>
      <c r="F59" s="90"/>
      <c r="G59" s="90"/>
      <c r="H59" s="93"/>
      <c r="I59" s="91"/>
    </row>
    <row r="60" spans="1:9" s="89" customFormat="1" x14ac:dyDescent="0.3">
      <c r="A60" s="92" t="s">
        <v>67</v>
      </c>
      <c r="B60" s="90"/>
      <c r="C60" s="90"/>
      <c r="D60" s="90"/>
      <c r="E60" s="90"/>
      <c r="F60" s="90"/>
      <c r="G60" s="90"/>
      <c r="H60" s="93"/>
      <c r="I60" s="91"/>
    </row>
    <row r="61" spans="1:9" s="89" customFormat="1" x14ac:dyDescent="0.3">
      <c r="E61" s="90"/>
      <c r="F61" s="90"/>
      <c r="G61" s="90"/>
      <c r="H61" s="93"/>
      <c r="I61" s="91"/>
    </row>
    <row r="62" spans="1:9" s="89" customFormat="1" x14ac:dyDescent="0.3">
      <c r="B62" s="90"/>
      <c r="C62" s="90"/>
      <c r="D62" s="90"/>
      <c r="E62" s="90"/>
      <c r="F62" s="90"/>
      <c r="G62" s="90"/>
      <c r="H62" s="93"/>
      <c r="I62" s="91"/>
    </row>
    <row r="63" spans="1:9" s="89" customFormat="1" x14ac:dyDescent="0.3">
      <c r="A63" s="92" t="s">
        <v>98</v>
      </c>
      <c r="B63" s="90"/>
      <c r="C63" s="90"/>
      <c r="D63" s="90"/>
      <c r="E63" s="90"/>
      <c r="F63" s="90"/>
      <c r="G63" s="90"/>
      <c r="H63" s="93"/>
      <c r="I63" s="91"/>
    </row>
    <row r="64" spans="1:9" s="89" customFormat="1" x14ac:dyDescent="0.3">
      <c r="A64" s="90"/>
      <c r="B64" s="90"/>
      <c r="C64" s="90"/>
      <c r="D64" s="90"/>
      <c r="E64" s="90"/>
      <c r="F64" s="90"/>
      <c r="G64" s="90"/>
      <c r="H64" s="93"/>
      <c r="I64" s="91"/>
    </row>
    <row r="65" spans="1:10" s="89" customFormat="1" x14ac:dyDescent="0.3"/>
    <row r="66" spans="1:10" s="89" customFormat="1" ht="15" thickBot="1" x14ac:dyDescent="0.35"/>
    <row r="67" spans="1:10" s="89" customFormat="1" ht="16.2" thickBot="1" x14ac:dyDescent="0.35">
      <c r="A67" s="283" t="s">
        <v>64</v>
      </c>
      <c r="B67" s="284"/>
      <c r="C67" s="284"/>
      <c r="D67" s="284"/>
      <c r="E67" s="284"/>
      <c r="F67" s="284"/>
      <c r="G67" s="285"/>
      <c r="I67" s="280" t="s">
        <v>63</v>
      </c>
      <c r="J67" s="280"/>
    </row>
    <row r="68" spans="1:10" s="89" customFormat="1" ht="15" thickBot="1" x14ac:dyDescent="0.35">
      <c r="A68" s="41" t="s">
        <v>37</v>
      </c>
      <c r="B68" s="42" t="s">
        <v>49</v>
      </c>
      <c r="C68" s="42" t="s">
        <v>48</v>
      </c>
      <c r="D68" s="42" t="s">
        <v>53</v>
      </c>
      <c r="E68" s="42" t="s">
        <v>52</v>
      </c>
      <c r="F68" s="42" t="s">
        <v>51</v>
      </c>
      <c r="G68" s="43" t="s">
        <v>50</v>
      </c>
      <c r="I68" s="98" t="s">
        <v>49</v>
      </c>
      <c r="J68" s="99" t="s">
        <v>48</v>
      </c>
    </row>
    <row r="69" spans="1:10" s="89" customFormat="1" x14ac:dyDescent="0.3">
      <c r="A69" s="44">
        <v>1</v>
      </c>
      <c r="B69" s="30">
        <f t="shared" ref="B69:B78" si="8">B20</f>
        <v>1440</v>
      </c>
      <c r="C69" s="36">
        <f>'Intensidad de precipitacion'!D8</f>
        <v>4.8014729296053114</v>
      </c>
      <c r="D69" s="12">
        <f t="shared" ref="D69:D78" si="9">IF(A69="","",LN(B69))</f>
        <v>7.2723983925700466</v>
      </c>
      <c r="E69" s="12">
        <f t="shared" ref="E69:E78" si="10">IF(B69="","",LN(C69))</f>
        <v>1.5689227311762821</v>
      </c>
      <c r="F69" s="12">
        <f t="shared" ref="F69:F78" si="11">IF(A69="","",D69*E69)</f>
        <v>11.409831148273001</v>
      </c>
      <c r="G69" s="33">
        <f t="shared" ref="G69:G78" si="12">IF(B69="","",D69^2)</f>
        <v>52.887778380255398</v>
      </c>
      <c r="I69" s="98">
        <f t="shared" ref="I69:I78" si="13">B69</f>
        <v>1440</v>
      </c>
      <c r="J69" s="99">
        <f t="shared" ref="J69:J78" si="14">C69</f>
        <v>4.8014729296053114</v>
      </c>
    </row>
    <row r="70" spans="1:10" s="89" customFormat="1" x14ac:dyDescent="0.3">
      <c r="A70" s="45">
        <f t="shared" ref="A70:A78" si="15">A69+1</f>
        <v>2</v>
      </c>
      <c r="B70" s="37">
        <f t="shared" si="8"/>
        <v>1080</v>
      </c>
      <c r="C70" s="38">
        <f>'Intensidad de precipitacion'!D9</f>
        <v>5.7617675155263743</v>
      </c>
      <c r="D70" s="13">
        <f t="shared" si="9"/>
        <v>6.9847163201182658</v>
      </c>
      <c r="E70" s="13">
        <f t="shared" si="10"/>
        <v>1.7512442879702368</v>
      </c>
      <c r="F70" s="13">
        <f t="shared" si="11"/>
        <v>12.231944558699604</v>
      </c>
      <c r="G70" s="34">
        <f t="shared" si="12"/>
        <v>48.786262072526448</v>
      </c>
      <c r="I70" s="98">
        <f t="shared" si="13"/>
        <v>1080</v>
      </c>
      <c r="J70" s="99">
        <f t="shared" si="14"/>
        <v>5.7617675155263743</v>
      </c>
    </row>
    <row r="71" spans="1:10" s="89" customFormat="1" x14ac:dyDescent="0.3">
      <c r="A71" s="45">
        <f t="shared" si="15"/>
        <v>3</v>
      </c>
      <c r="B71" s="37">
        <f t="shared" si="8"/>
        <v>720</v>
      </c>
      <c r="C71" s="38">
        <f>'Intensidad de precipitacion'!D10</f>
        <v>7.5863272287763932</v>
      </c>
      <c r="D71" s="13">
        <f t="shared" si="9"/>
        <v>6.5792512120101012</v>
      </c>
      <c r="E71" s="13">
        <f t="shared" si="10"/>
        <v>2.0263475782151579</v>
      </c>
      <c r="F71" s="13">
        <f t="shared" si="11"/>
        <v>13.331849759925811</v>
      </c>
      <c r="G71" s="34">
        <f t="shared" si="12"/>
        <v>43.286546510736386</v>
      </c>
      <c r="I71" s="98">
        <f t="shared" si="13"/>
        <v>720</v>
      </c>
      <c r="J71" s="99">
        <f t="shared" si="14"/>
        <v>7.5863272287763932</v>
      </c>
    </row>
    <row r="72" spans="1:10" s="89" customFormat="1" x14ac:dyDescent="0.3">
      <c r="A72" s="45">
        <f t="shared" si="15"/>
        <v>4</v>
      </c>
      <c r="B72" s="37">
        <f t="shared" si="8"/>
        <v>480</v>
      </c>
      <c r="C72" s="38">
        <f>'Intensidad de precipitacion'!D11</f>
        <v>9.2188280248421979</v>
      </c>
      <c r="D72" s="13">
        <f t="shared" si="9"/>
        <v>6.1737861039019366</v>
      </c>
      <c r="E72" s="13">
        <f t="shared" si="10"/>
        <v>2.2212479172159725</v>
      </c>
      <c r="F72" s="13">
        <f t="shared" si="11"/>
        <v>13.713509524629091</v>
      </c>
      <c r="G72" s="34">
        <f t="shared" si="12"/>
        <v>38.115634856732655</v>
      </c>
      <c r="I72" s="98">
        <f t="shared" si="13"/>
        <v>480</v>
      </c>
      <c r="J72" s="99">
        <f t="shared" si="14"/>
        <v>9.2188280248421979</v>
      </c>
    </row>
    <row r="73" spans="1:10" s="89" customFormat="1" x14ac:dyDescent="0.3">
      <c r="A73" s="45">
        <f t="shared" si="15"/>
        <v>5</v>
      </c>
      <c r="B73" s="37">
        <f t="shared" si="8"/>
        <v>360</v>
      </c>
      <c r="C73" s="38">
        <f>'Intensidad de precipitacion'!D12</f>
        <v>10.755299362315901</v>
      </c>
      <c r="D73" s="13">
        <f t="shared" si="9"/>
        <v>5.8861040314501558</v>
      </c>
      <c r="E73" s="13">
        <f t="shared" si="10"/>
        <v>2.375398597043231</v>
      </c>
      <c r="F73" s="13">
        <f t="shared" si="11"/>
        <v>13.981843258357205</v>
      </c>
      <c r="G73" s="34">
        <f t="shared" si="12"/>
        <v>34.646220669053776</v>
      </c>
      <c r="I73" s="98">
        <f t="shared" si="13"/>
        <v>360</v>
      </c>
      <c r="J73" s="99">
        <f t="shared" si="14"/>
        <v>10.755299362315901</v>
      </c>
    </row>
    <row r="74" spans="1:10" s="89" customFormat="1" x14ac:dyDescent="0.3">
      <c r="A74" s="45">
        <f t="shared" si="15"/>
        <v>6</v>
      </c>
      <c r="B74" s="37">
        <f t="shared" si="8"/>
        <v>300</v>
      </c>
      <c r="C74" s="38">
        <f>'Intensidad de precipitacion'!D13</f>
        <v>11.523535031052749</v>
      </c>
      <c r="D74" s="13">
        <f t="shared" si="9"/>
        <v>5.7037824746562009</v>
      </c>
      <c r="E74" s="13">
        <f t="shared" si="10"/>
        <v>2.4443914685301822</v>
      </c>
      <c r="F74" s="13">
        <f t="shared" si="11"/>
        <v>13.942277219401587</v>
      </c>
      <c r="G74" s="34">
        <f t="shared" si="12"/>
        <v>32.533134518195219</v>
      </c>
      <c r="I74" s="98">
        <f t="shared" si="13"/>
        <v>300</v>
      </c>
      <c r="J74" s="99">
        <f t="shared" si="14"/>
        <v>11.523535031052749</v>
      </c>
    </row>
    <row r="75" spans="1:10" s="89" customFormat="1" x14ac:dyDescent="0.3">
      <c r="A75" s="45">
        <f t="shared" si="15"/>
        <v>7</v>
      </c>
      <c r="B75" s="37">
        <f t="shared" si="8"/>
        <v>240</v>
      </c>
      <c r="C75" s="38">
        <f>'Intensidad de precipitacion'!D14</f>
        <v>12.675888534158023</v>
      </c>
      <c r="D75" s="13">
        <f t="shared" si="9"/>
        <v>5.4806389233419912</v>
      </c>
      <c r="E75" s="13">
        <f t="shared" si="10"/>
        <v>2.539701648334507</v>
      </c>
      <c r="F75" s="13">
        <f t="shared" si="11"/>
        <v>13.919187707537912</v>
      </c>
      <c r="G75" s="34">
        <f t="shared" si="12"/>
        <v>30.03740300805126</v>
      </c>
      <c r="I75" s="98">
        <f t="shared" si="13"/>
        <v>240</v>
      </c>
      <c r="J75" s="99">
        <f t="shared" si="14"/>
        <v>12.675888534158023</v>
      </c>
    </row>
    <row r="76" spans="1:10" s="89" customFormat="1" x14ac:dyDescent="0.3">
      <c r="A76" s="45">
        <f t="shared" si="15"/>
        <v>8</v>
      </c>
      <c r="B76" s="37">
        <f t="shared" si="8"/>
        <v>180</v>
      </c>
      <c r="C76" s="38">
        <f>'Intensidad de precipitacion'!D15</f>
        <v>14.596477706000149</v>
      </c>
      <c r="D76" s="13">
        <f t="shared" si="9"/>
        <v>5.1929568508902104</v>
      </c>
      <c r="E76" s="13">
        <f t="shared" si="10"/>
        <v>2.6807802465944128</v>
      </c>
      <c r="F76" s="13">
        <f t="shared" si="11"/>
        <v>13.921176147283603</v>
      </c>
      <c r="G76" s="34">
        <f t="shared" si="12"/>
        <v>26.96680085520757</v>
      </c>
      <c r="I76" s="98">
        <f t="shared" si="13"/>
        <v>180</v>
      </c>
      <c r="J76" s="99">
        <f t="shared" si="14"/>
        <v>14.596477706000149</v>
      </c>
    </row>
    <row r="77" spans="1:10" s="89" customFormat="1" x14ac:dyDescent="0.3">
      <c r="A77" s="45">
        <f t="shared" si="15"/>
        <v>9</v>
      </c>
      <c r="B77" s="37">
        <f t="shared" si="8"/>
        <v>120</v>
      </c>
      <c r="C77" s="38">
        <f>'Intensidad de precipitacion'!D16</f>
        <v>17.861479298131758</v>
      </c>
      <c r="D77" s="13">
        <f t="shared" si="9"/>
        <v>4.7874917427820458</v>
      </c>
      <c r="E77" s="13">
        <f t="shared" si="10"/>
        <v>2.8826463994613372</v>
      </c>
      <c r="F77" s="13">
        <f t="shared" si="11"/>
        <v>13.800645834781546</v>
      </c>
      <c r="G77" s="34">
        <f t="shared" si="12"/>
        <v>22.920077187206271</v>
      </c>
      <c r="I77" s="98">
        <f t="shared" si="13"/>
        <v>120</v>
      </c>
      <c r="J77" s="99">
        <f t="shared" si="14"/>
        <v>17.861479298131758</v>
      </c>
    </row>
    <row r="78" spans="1:10" s="89" customFormat="1" ht="15" thickBot="1" x14ac:dyDescent="0.35">
      <c r="A78" s="18">
        <f t="shared" si="15"/>
        <v>10</v>
      </c>
      <c r="B78" s="39">
        <f t="shared" si="8"/>
        <v>60</v>
      </c>
      <c r="C78" s="40">
        <f>'Intensidad de precipitacion'!D17</f>
        <v>28.80883757763187</v>
      </c>
      <c r="D78" s="14">
        <f t="shared" si="9"/>
        <v>4.0943445622221004</v>
      </c>
      <c r="E78" s="14">
        <f t="shared" si="10"/>
        <v>3.3606822004043373</v>
      </c>
      <c r="F78" s="14">
        <f t="shared" si="11"/>
        <v>13.759790892582101</v>
      </c>
      <c r="G78" s="35">
        <f t="shared" si="12"/>
        <v>16.763657394197683</v>
      </c>
      <c r="I78" s="98">
        <f t="shared" si="13"/>
        <v>60</v>
      </c>
      <c r="J78" s="99">
        <f t="shared" si="14"/>
        <v>28.80883757763187</v>
      </c>
    </row>
    <row r="79" spans="1:10" s="89" customFormat="1" ht="15" thickBot="1" x14ac:dyDescent="0.35">
      <c r="A79" s="52">
        <f>COUNT(A69:A78)</f>
        <v>10</v>
      </c>
      <c r="B79" s="31">
        <f t="shared" ref="B79:G79" si="16">SUM(B69:B78)</f>
        <v>4980</v>
      </c>
      <c r="C79" s="32">
        <f t="shared" si="16"/>
        <v>123.58991320804071</v>
      </c>
      <c r="D79" s="56">
        <f>SUM(D69:D78)</f>
        <v>58.155470613943052</v>
      </c>
      <c r="E79" s="56">
        <f t="shared" si="16"/>
        <v>23.851363074945656</v>
      </c>
      <c r="F79" s="56">
        <f t="shared" si="16"/>
        <v>134.01205605147146</v>
      </c>
      <c r="G79" s="100">
        <f t="shared" si="16"/>
        <v>346.94351545216267</v>
      </c>
      <c r="H79" s="93"/>
      <c r="I79" s="91"/>
    </row>
    <row r="80" spans="1:10" s="89" customFormat="1" ht="15" thickBot="1" x14ac:dyDescent="0.35">
      <c r="A80" s="46" t="s">
        <v>96</v>
      </c>
      <c r="B80" s="47">
        <f>((F79*D79)-(G79*E79))/((D79^2)-(G79*A79))</f>
        <v>5.5111175209842909</v>
      </c>
      <c r="C80" s="48" t="s">
        <v>95</v>
      </c>
      <c r="D80" s="49">
        <f>EXP(B80)</f>
        <v>247.427478023649</v>
      </c>
      <c r="E80" s="50" t="s">
        <v>101</v>
      </c>
      <c r="F80" s="47">
        <f>(E79-(A79*B80))/D79</f>
        <v>-0.53752143701855915</v>
      </c>
      <c r="G80" s="51"/>
      <c r="H80" s="93"/>
      <c r="I80" s="91"/>
    </row>
    <row r="81" spans="1:9" s="89" customFormat="1" x14ac:dyDescent="0.3">
      <c r="A81" s="101"/>
      <c r="B81" s="101"/>
      <c r="C81" s="101"/>
      <c r="D81" s="101"/>
      <c r="E81" s="101"/>
      <c r="F81" s="101"/>
      <c r="G81" s="92"/>
      <c r="H81" s="93"/>
      <c r="I81" s="91"/>
    </row>
    <row r="82" spans="1:9" s="89" customFormat="1" x14ac:dyDescent="0.3">
      <c r="A82" s="101"/>
      <c r="B82" s="101"/>
      <c r="C82" s="101"/>
      <c r="D82" s="101"/>
      <c r="E82" s="101"/>
      <c r="F82" s="101"/>
      <c r="G82" s="92"/>
      <c r="H82" s="93"/>
      <c r="I82" s="91"/>
    </row>
    <row r="83" spans="1:9" s="89" customFormat="1" x14ac:dyDescent="0.3">
      <c r="A83" s="101"/>
      <c r="B83" s="101"/>
      <c r="C83" s="101"/>
      <c r="D83" s="101"/>
      <c r="E83" s="101"/>
      <c r="F83" s="101"/>
      <c r="G83" s="92"/>
      <c r="H83" s="93"/>
      <c r="I83" s="91"/>
    </row>
    <row r="84" spans="1:9" s="89" customFormat="1" x14ac:dyDescent="0.3">
      <c r="A84" s="101"/>
      <c r="B84" s="101"/>
      <c r="C84" s="101"/>
      <c r="D84" s="101"/>
      <c r="E84" s="101"/>
      <c r="F84" s="101"/>
      <c r="G84" s="92"/>
      <c r="H84" s="93"/>
      <c r="I84" s="91"/>
    </row>
    <row r="85" spans="1:9" s="89" customFormat="1" x14ac:dyDescent="0.3">
      <c r="A85" s="101"/>
      <c r="B85" s="101"/>
      <c r="C85" s="101"/>
      <c r="D85" s="101"/>
      <c r="E85" s="101"/>
      <c r="F85" s="101"/>
      <c r="G85" s="92"/>
      <c r="H85" s="93"/>
      <c r="I85" s="91"/>
    </row>
    <row r="86" spans="1:9" s="89" customFormat="1" x14ac:dyDescent="0.3">
      <c r="A86" s="101"/>
      <c r="B86" s="101"/>
      <c r="C86" s="101"/>
      <c r="D86" s="101"/>
      <c r="E86" s="101"/>
      <c r="F86" s="101"/>
      <c r="G86" s="92"/>
      <c r="H86" s="93"/>
      <c r="I86" s="91"/>
    </row>
    <row r="87" spans="1:9" s="89" customFormat="1" x14ac:dyDescent="0.3">
      <c r="A87" s="101"/>
      <c r="B87" s="101"/>
      <c r="C87" s="101"/>
      <c r="D87" s="101"/>
      <c r="E87" s="101"/>
      <c r="F87" s="101"/>
      <c r="G87" s="92"/>
      <c r="H87" s="93"/>
      <c r="I87" s="91"/>
    </row>
    <row r="88" spans="1:9" s="89" customFormat="1" x14ac:dyDescent="0.3">
      <c r="A88" s="101"/>
      <c r="B88" s="101"/>
      <c r="C88" s="101"/>
      <c r="D88" s="101"/>
      <c r="E88" s="101"/>
      <c r="F88" s="101"/>
      <c r="G88" s="92"/>
      <c r="H88" s="93"/>
      <c r="I88" s="91"/>
    </row>
    <row r="89" spans="1:9" s="89" customFormat="1" x14ac:dyDescent="0.3">
      <c r="A89" s="101"/>
      <c r="B89" s="101"/>
      <c r="C89" s="101"/>
      <c r="D89" s="101"/>
      <c r="E89" s="101"/>
      <c r="F89" s="101"/>
      <c r="G89" s="92"/>
      <c r="H89" s="93"/>
      <c r="I89" s="91"/>
    </row>
    <row r="90" spans="1:9" s="89" customFormat="1" x14ac:dyDescent="0.3">
      <c r="A90" s="101"/>
      <c r="B90" s="101"/>
      <c r="C90" s="101"/>
      <c r="D90" s="101"/>
      <c r="E90" s="101"/>
      <c r="F90" s="101"/>
      <c r="G90" s="92"/>
      <c r="H90" s="93"/>
      <c r="I90" s="91"/>
    </row>
    <row r="91" spans="1:9" s="89" customFormat="1" x14ac:dyDescent="0.3">
      <c r="A91" s="101"/>
      <c r="B91" s="101"/>
      <c r="C91" s="101"/>
      <c r="D91" s="101"/>
      <c r="E91" s="101"/>
      <c r="F91" s="101"/>
      <c r="G91" s="92"/>
      <c r="H91" s="93"/>
      <c r="I91" s="91"/>
    </row>
    <row r="92" spans="1:9" s="89" customFormat="1" x14ac:dyDescent="0.3">
      <c r="A92" s="101"/>
      <c r="B92" s="101"/>
      <c r="C92" s="101"/>
      <c r="D92" s="101"/>
      <c r="E92" s="101"/>
      <c r="F92" s="101"/>
      <c r="G92" s="92"/>
      <c r="H92" s="93"/>
      <c r="I92" s="91"/>
    </row>
    <row r="93" spans="1:9" s="89" customFormat="1" x14ac:dyDescent="0.3">
      <c r="A93" s="101"/>
      <c r="B93" s="101"/>
      <c r="C93" s="101"/>
      <c r="D93" s="101"/>
      <c r="E93" s="101"/>
      <c r="F93" s="101"/>
      <c r="G93" s="92"/>
      <c r="H93" s="93"/>
      <c r="I93" s="91"/>
    </row>
    <row r="94" spans="1:9" s="89" customFormat="1" x14ac:dyDescent="0.3">
      <c r="A94" s="101"/>
      <c r="B94" s="101"/>
      <c r="C94" s="101"/>
      <c r="D94" s="101"/>
      <c r="E94" s="101"/>
      <c r="F94" s="101"/>
      <c r="G94" s="92"/>
      <c r="H94" s="93"/>
      <c r="I94" s="91"/>
    </row>
    <row r="95" spans="1:9" s="89" customFormat="1" x14ac:dyDescent="0.3">
      <c r="A95" s="101"/>
      <c r="B95" s="101"/>
      <c r="C95" s="101"/>
      <c r="D95" s="101"/>
      <c r="E95" s="101"/>
      <c r="F95" s="101"/>
      <c r="G95" s="92"/>
      <c r="H95" s="93"/>
      <c r="I95" s="91"/>
    </row>
    <row r="96" spans="1:9" s="89" customFormat="1" x14ac:dyDescent="0.3">
      <c r="A96" s="101"/>
      <c r="B96" s="101"/>
      <c r="C96" s="101"/>
      <c r="D96" s="101"/>
      <c r="E96" s="101"/>
      <c r="F96" s="101"/>
      <c r="G96" s="92"/>
      <c r="H96" s="93"/>
      <c r="I96" s="91"/>
    </row>
    <row r="97" spans="1:9" s="89" customFormat="1" x14ac:dyDescent="0.3">
      <c r="A97" s="101"/>
      <c r="B97" s="101"/>
      <c r="C97" s="101"/>
      <c r="D97" s="101"/>
      <c r="E97" s="101"/>
      <c r="F97" s="101"/>
      <c r="G97" s="92"/>
      <c r="H97" s="93"/>
      <c r="I97" s="91"/>
    </row>
    <row r="98" spans="1:9" s="89" customFormat="1" x14ac:dyDescent="0.3">
      <c r="A98" s="101"/>
      <c r="B98" s="101"/>
      <c r="C98" s="101"/>
      <c r="D98" s="101"/>
      <c r="E98" s="101"/>
      <c r="F98" s="101"/>
      <c r="G98" s="92"/>
      <c r="H98" s="93"/>
      <c r="I98" s="91"/>
    </row>
    <row r="99" spans="1:9" s="89" customFormat="1" x14ac:dyDescent="0.3">
      <c r="A99" s="286" t="s">
        <v>97</v>
      </c>
      <c r="B99" s="286"/>
      <c r="C99" s="286"/>
      <c r="D99" s="286"/>
      <c r="E99" s="286"/>
      <c r="F99" s="286"/>
      <c r="G99" s="286"/>
      <c r="H99" s="93"/>
      <c r="I99" s="91"/>
    </row>
    <row r="100" spans="1:9" s="89" customFormat="1" x14ac:dyDescent="0.3">
      <c r="H100" s="93"/>
      <c r="I100" s="91"/>
    </row>
    <row r="101" spans="1:9" s="89" customFormat="1" x14ac:dyDescent="0.3">
      <c r="A101" s="91"/>
      <c r="B101" s="90"/>
      <c r="C101" s="90"/>
      <c r="D101" s="90"/>
      <c r="E101" s="90"/>
      <c r="F101" s="90"/>
      <c r="G101" s="90"/>
      <c r="H101" s="93"/>
      <c r="I101" s="91"/>
    </row>
    <row r="102" spans="1:9" s="89" customFormat="1" x14ac:dyDescent="0.3">
      <c r="A102" s="91"/>
      <c r="B102" s="90"/>
      <c r="C102" s="90"/>
      <c r="D102" s="90"/>
      <c r="E102" s="90"/>
      <c r="F102" s="90"/>
      <c r="G102" s="90"/>
      <c r="H102" s="93"/>
      <c r="I102" s="91"/>
    </row>
    <row r="103" spans="1:9" s="89" customFormat="1" x14ac:dyDescent="0.3">
      <c r="A103" s="90" t="s">
        <v>87</v>
      </c>
      <c r="B103" s="90"/>
      <c r="C103" s="90"/>
      <c r="D103" s="90"/>
      <c r="E103" s="90"/>
      <c r="F103" s="90"/>
      <c r="G103" s="90"/>
      <c r="H103" s="93"/>
      <c r="I103" s="91"/>
    </row>
    <row r="104" spans="1:9" s="89" customFormat="1" x14ac:dyDescent="0.3">
      <c r="A104" s="90"/>
      <c r="B104" s="90" t="s">
        <v>74</v>
      </c>
      <c r="C104" s="90" t="s">
        <v>73</v>
      </c>
      <c r="D104" s="90"/>
      <c r="E104" s="90"/>
      <c r="F104" s="90"/>
      <c r="G104" s="90"/>
      <c r="H104" s="93"/>
      <c r="I104" s="91"/>
    </row>
    <row r="105" spans="1:9" s="89" customFormat="1" x14ac:dyDescent="0.3">
      <c r="A105" s="90"/>
      <c r="B105" s="90" t="s">
        <v>72</v>
      </c>
      <c r="C105" s="90" t="s">
        <v>71</v>
      </c>
      <c r="D105" s="90"/>
      <c r="E105" s="90"/>
      <c r="F105" s="90"/>
      <c r="G105" s="90"/>
      <c r="H105" s="93"/>
      <c r="I105" s="91"/>
    </row>
    <row r="106" spans="1:9" s="89" customFormat="1" x14ac:dyDescent="0.3">
      <c r="A106" s="90"/>
      <c r="B106" s="90" t="s">
        <v>70</v>
      </c>
      <c r="C106" s="90" t="s">
        <v>69</v>
      </c>
      <c r="D106" s="90"/>
      <c r="E106" s="90"/>
      <c r="F106" s="90"/>
      <c r="G106" s="90"/>
      <c r="H106" s="93"/>
      <c r="I106" s="91"/>
    </row>
    <row r="107" spans="1:9" s="89" customFormat="1" x14ac:dyDescent="0.3">
      <c r="A107" s="90"/>
      <c r="B107" s="90" t="s">
        <v>100</v>
      </c>
      <c r="C107" s="90" t="s">
        <v>68</v>
      </c>
      <c r="D107" s="90"/>
      <c r="E107" s="90"/>
      <c r="F107" s="90"/>
      <c r="G107" s="90"/>
      <c r="H107" s="93"/>
      <c r="I107" s="91"/>
    </row>
    <row r="108" spans="1:9" s="89" customFormat="1" x14ac:dyDescent="0.3">
      <c r="E108" s="90"/>
      <c r="F108" s="90"/>
      <c r="G108" s="90"/>
      <c r="H108" s="93"/>
      <c r="I108" s="91"/>
    </row>
    <row r="109" spans="1:9" s="89" customFormat="1" x14ac:dyDescent="0.3">
      <c r="A109" s="92" t="s">
        <v>67</v>
      </c>
      <c r="B109" s="90"/>
      <c r="C109" s="90"/>
      <c r="D109" s="90"/>
      <c r="E109" s="90"/>
      <c r="F109" s="90"/>
      <c r="G109" s="90"/>
      <c r="H109" s="93"/>
      <c r="I109" s="91"/>
    </row>
    <row r="110" spans="1:9" s="89" customFormat="1" x14ac:dyDescent="0.3">
      <c r="E110" s="90"/>
      <c r="F110" s="90"/>
      <c r="G110" s="90"/>
      <c r="H110" s="93"/>
      <c r="I110" s="91"/>
    </row>
    <row r="111" spans="1:9" s="89" customFormat="1" x14ac:dyDescent="0.3">
      <c r="B111" s="90"/>
      <c r="C111" s="90"/>
      <c r="D111" s="90"/>
      <c r="E111" s="90"/>
      <c r="F111" s="90"/>
      <c r="G111" s="90"/>
      <c r="H111" s="93"/>
      <c r="I111" s="91"/>
    </row>
    <row r="112" spans="1:9" s="89" customFormat="1" x14ac:dyDescent="0.3">
      <c r="A112" s="92" t="s">
        <v>98</v>
      </c>
      <c r="B112" s="90"/>
      <c r="C112" s="90"/>
      <c r="D112" s="90"/>
      <c r="E112" s="90"/>
      <c r="F112" s="90"/>
      <c r="G112" s="90"/>
      <c r="H112" s="93"/>
      <c r="I112" s="91"/>
    </row>
    <row r="113" spans="1:10" s="89" customFormat="1" x14ac:dyDescent="0.3">
      <c r="A113" s="90"/>
      <c r="B113" s="90"/>
      <c r="C113" s="90"/>
      <c r="D113" s="90"/>
      <c r="E113" s="90"/>
      <c r="F113" s="90"/>
      <c r="G113" s="90"/>
      <c r="H113" s="93"/>
      <c r="I113" s="91"/>
    </row>
    <row r="114" spans="1:10" s="89" customFormat="1" ht="15" thickBot="1" x14ac:dyDescent="0.35">
      <c r="H114" s="93"/>
      <c r="I114" s="91"/>
    </row>
    <row r="115" spans="1:10" s="89" customFormat="1" ht="16.2" thickBot="1" x14ac:dyDescent="0.35">
      <c r="A115" s="283" t="s">
        <v>162</v>
      </c>
      <c r="B115" s="284"/>
      <c r="C115" s="284"/>
      <c r="D115" s="284"/>
      <c r="E115" s="284"/>
      <c r="F115" s="284"/>
      <c r="G115" s="285"/>
      <c r="I115" s="280" t="s">
        <v>62</v>
      </c>
      <c r="J115" s="280"/>
    </row>
    <row r="116" spans="1:10" s="89" customFormat="1" ht="15" thickBot="1" x14ac:dyDescent="0.35">
      <c r="A116" s="41" t="s">
        <v>37</v>
      </c>
      <c r="B116" s="42" t="s">
        <v>49</v>
      </c>
      <c r="C116" s="42" t="s">
        <v>48</v>
      </c>
      <c r="D116" s="42" t="s">
        <v>53</v>
      </c>
      <c r="E116" s="42" t="s">
        <v>52</v>
      </c>
      <c r="F116" s="42" t="s">
        <v>51</v>
      </c>
      <c r="G116" s="43" t="s">
        <v>50</v>
      </c>
      <c r="I116" s="98" t="s">
        <v>49</v>
      </c>
      <c r="J116" s="99" t="s">
        <v>48</v>
      </c>
    </row>
    <row r="117" spans="1:10" s="89" customFormat="1" x14ac:dyDescent="0.3">
      <c r="A117" s="44">
        <v>1</v>
      </c>
      <c r="B117" s="30">
        <f t="shared" ref="B117:B126" si="17">B69</f>
        <v>1440</v>
      </c>
      <c r="C117" s="36">
        <f>'Intensidad de precipitacion'!E8</f>
        <v>6.1552547943975346</v>
      </c>
      <c r="D117" s="12">
        <f t="shared" ref="D117:D126" si="18">IF(A117="","",LN(B117))</f>
        <v>7.2723983925700466</v>
      </c>
      <c r="E117" s="12">
        <f t="shared" ref="E117:E126" si="19">IF(B117="","",LN(C117))</f>
        <v>1.8173061551074003</v>
      </c>
      <c r="F117" s="12">
        <f t="shared" ref="F117:F126" si="20">IF(A117="","",D117*E117)</f>
        <v>13.21617436121071</v>
      </c>
      <c r="G117" s="33">
        <f t="shared" ref="G117:G126" si="21">IF(B117="","",D117^2)</f>
        <v>52.887778380255398</v>
      </c>
      <c r="I117" s="96">
        <f t="shared" ref="I117:I126" si="22">B117</f>
        <v>1440</v>
      </c>
      <c r="J117" s="97">
        <f t="shared" ref="J117:J126" si="23">C117</f>
        <v>6.1552547943975346</v>
      </c>
    </row>
    <row r="118" spans="1:10" s="89" customFormat="1" x14ac:dyDescent="0.3">
      <c r="A118" s="45">
        <f t="shared" ref="A118:A126" si="24">A117+1</f>
        <v>2</v>
      </c>
      <c r="B118" s="37">
        <f t="shared" si="17"/>
        <v>1080</v>
      </c>
      <c r="C118" s="38">
        <f>'Intensidad de precipitacion'!E9</f>
        <v>7.3863057532770409</v>
      </c>
      <c r="D118" s="13">
        <f t="shared" si="18"/>
        <v>6.9847163201182658</v>
      </c>
      <c r="E118" s="13">
        <f t="shared" si="19"/>
        <v>1.999627711901355</v>
      </c>
      <c r="F118" s="13">
        <f t="shared" si="20"/>
        <v>13.96683231347814</v>
      </c>
      <c r="G118" s="34">
        <f t="shared" si="21"/>
        <v>48.786262072526448</v>
      </c>
      <c r="I118" s="96">
        <f t="shared" si="22"/>
        <v>1080</v>
      </c>
      <c r="J118" s="97">
        <f t="shared" si="23"/>
        <v>7.3863057532770409</v>
      </c>
    </row>
    <row r="119" spans="1:10" s="89" customFormat="1" x14ac:dyDescent="0.3">
      <c r="A119" s="45">
        <f t="shared" si="24"/>
        <v>3</v>
      </c>
      <c r="B119" s="37">
        <f t="shared" si="17"/>
        <v>720</v>
      </c>
      <c r="C119" s="38">
        <f>'Intensidad de precipitacion'!E10</f>
        <v>9.7253025751481044</v>
      </c>
      <c r="D119" s="13">
        <f t="shared" si="18"/>
        <v>6.5792512120101012</v>
      </c>
      <c r="E119" s="13">
        <f t="shared" si="19"/>
        <v>2.2747310021462757</v>
      </c>
      <c r="F119" s="13">
        <f t="shared" si="20"/>
        <v>14.966026702867836</v>
      </c>
      <c r="G119" s="34">
        <f t="shared" si="21"/>
        <v>43.286546510736386</v>
      </c>
      <c r="I119" s="96">
        <f t="shared" si="22"/>
        <v>720</v>
      </c>
      <c r="J119" s="97">
        <f t="shared" si="23"/>
        <v>9.7253025751481044</v>
      </c>
    </row>
    <row r="120" spans="1:10" s="89" customFormat="1" x14ac:dyDescent="0.3">
      <c r="A120" s="45">
        <f t="shared" si="24"/>
        <v>4</v>
      </c>
      <c r="B120" s="37">
        <f t="shared" si="17"/>
        <v>480</v>
      </c>
      <c r="C120" s="38">
        <f>'Intensidad de precipitacion'!E11</f>
        <v>11.818089205243266</v>
      </c>
      <c r="D120" s="13">
        <f t="shared" si="18"/>
        <v>6.1737861039019366</v>
      </c>
      <c r="E120" s="13">
        <f t="shared" si="19"/>
        <v>2.4696313411470907</v>
      </c>
      <c r="F120" s="13">
        <f t="shared" si="20"/>
        <v>15.246975655734612</v>
      </c>
      <c r="G120" s="34">
        <f t="shared" si="21"/>
        <v>38.115634856732655</v>
      </c>
      <c r="I120" s="96">
        <f t="shared" si="22"/>
        <v>480</v>
      </c>
      <c r="J120" s="97">
        <f t="shared" si="23"/>
        <v>11.818089205243266</v>
      </c>
    </row>
    <row r="121" spans="1:10" s="89" customFormat="1" x14ac:dyDescent="0.3">
      <c r="A121" s="45">
        <f t="shared" si="24"/>
        <v>5</v>
      </c>
      <c r="B121" s="37">
        <f t="shared" si="17"/>
        <v>360</v>
      </c>
      <c r="C121" s="38">
        <f>'Intensidad de precipitacion'!E12</f>
        <v>13.787770739450478</v>
      </c>
      <c r="D121" s="13">
        <f t="shared" si="18"/>
        <v>5.8861040314501558</v>
      </c>
      <c r="E121" s="13">
        <f t="shared" si="19"/>
        <v>2.6237820209743488</v>
      </c>
      <c r="F121" s="13">
        <f t="shared" si="20"/>
        <v>15.443853931303552</v>
      </c>
      <c r="G121" s="34">
        <f t="shared" si="21"/>
        <v>34.646220669053776</v>
      </c>
      <c r="I121" s="96">
        <f t="shared" si="22"/>
        <v>360</v>
      </c>
      <c r="J121" s="97">
        <f t="shared" si="23"/>
        <v>13.787770739450478</v>
      </c>
    </row>
    <row r="122" spans="1:10" s="89" customFormat="1" x14ac:dyDescent="0.3">
      <c r="A122" s="45">
        <f t="shared" si="24"/>
        <v>6</v>
      </c>
      <c r="B122" s="37">
        <f t="shared" si="17"/>
        <v>300</v>
      </c>
      <c r="C122" s="38">
        <f>'Intensidad de precipitacion'!E13</f>
        <v>14.772611506554082</v>
      </c>
      <c r="D122" s="13">
        <f t="shared" si="18"/>
        <v>5.7037824746562009</v>
      </c>
      <c r="E122" s="13">
        <f t="shared" si="19"/>
        <v>2.6927748924613004</v>
      </c>
      <c r="F122" s="13">
        <f t="shared" si="20"/>
        <v>15.359002239815002</v>
      </c>
      <c r="G122" s="34">
        <f t="shared" si="21"/>
        <v>32.533134518195219</v>
      </c>
      <c r="I122" s="96">
        <f t="shared" si="22"/>
        <v>300</v>
      </c>
      <c r="J122" s="97">
        <f t="shared" si="23"/>
        <v>14.772611506554082</v>
      </c>
    </row>
    <row r="123" spans="1:10" s="89" customFormat="1" x14ac:dyDescent="0.3">
      <c r="A123" s="45">
        <f t="shared" si="24"/>
        <v>7</v>
      </c>
      <c r="B123" s="37">
        <f t="shared" si="17"/>
        <v>240</v>
      </c>
      <c r="C123" s="38">
        <f>'Intensidad de precipitacion'!E14</f>
        <v>16.24987265720949</v>
      </c>
      <c r="D123" s="13">
        <f t="shared" si="18"/>
        <v>5.4806389233419912</v>
      </c>
      <c r="E123" s="13">
        <f t="shared" si="19"/>
        <v>2.7880850722656252</v>
      </c>
      <c r="F123" s="13">
        <f t="shared" si="20"/>
        <v>15.280487568647754</v>
      </c>
      <c r="G123" s="34">
        <f t="shared" si="21"/>
        <v>30.03740300805126</v>
      </c>
      <c r="I123" s="96">
        <f t="shared" si="22"/>
        <v>240</v>
      </c>
      <c r="J123" s="97">
        <f t="shared" si="23"/>
        <v>16.24987265720949</v>
      </c>
    </row>
    <row r="124" spans="1:10" s="89" customFormat="1" x14ac:dyDescent="0.3">
      <c r="A124" s="45">
        <f t="shared" si="24"/>
        <v>8</v>
      </c>
      <c r="B124" s="37">
        <f t="shared" si="17"/>
        <v>180</v>
      </c>
      <c r="C124" s="38">
        <f>'Intensidad de precipitacion'!E15</f>
        <v>18.711974574968504</v>
      </c>
      <c r="D124" s="13">
        <f t="shared" si="18"/>
        <v>5.1929568508902104</v>
      </c>
      <c r="E124" s="13">
        <f t="shared" si="19"/>
        <v>2.9291636705255306</v>
      </c>
      <c r="F124" s="13">
        <f t="shared" si="20"/>
        <v>15.21102055023427</v>
      </c>
      <c r="G124" s="34">
        <f t="shared" si="21"/>
        <v>26.96680085520757</v>
      </c>
      <c r="I124" s="96">
        <f t="shared" si="22"/>
        <v>180</v>
      </c>
      <c r="J124" s="97">
        <f t="shared" si="23"/>
        <v>18.711974574968504</v>
      </c>
    </row>
    <row r="125" spans="1:10" s="89" customFormat="1" x14ac:dyDescent="0.3">
      <c r="A125" s="45">
        <f t="shared" si="24"/>
        <v>9</v>
      </c>
      <c r="B125" s="37">
        <f t="shared" si="17"/>
        <v>120</v>
      </c>
      <c r="C125" s="38">
        <f>'Intensidad de precipitacion'!E16</f>
        <v>22.897547835158829</v>
      </c>
      <c r="D125" s="13">
        <f t="shared" si="18"/>
        <v>4.7874917427820458</v>
      </c>
      <c r="E125" s="13">
        <f t="shared" si="19"/>
        <v>3.1310298233924554</v>
      </c>
      <c r="F125" s="13">
        <f t="shared" si="20"/>
        <v>14.989779425895707</v>
      </c>
      <c r="G125" s="34">
        <f t="shared" si="21"/>
        <v>22.920077187206271</v>
      </c>
      <c r="I125" s="96">
        <f t="shared" si="22"/>
        <v>120</v>
      </c>
      <c r="J125" s="97">
        <f t="shared" si="23"/>
        <v>22.897547835158829</v>
      </c>
    </row>
    <row r="126" spans="1:10" s="89" customFormat="1" ht="15" thickBot="1" x14ac:dyDescent="0.35">
      <c r="A126" s="18">
        <f t="shared" si="24"/>
        <v>10</v>
      </c>
      <c r="B126" s="39">
        <f t="shared" si="17"/>
        <v>60</v>
      </c>
      <c r="C126" s="40">
        <f>'Intensidad de precipitacion'!E17</f>
        <v>36.931528766385206</v>
      </c>
      <c r="D126" s="14">
        <f t="shared" si="18"/>
        <v>4.0943445622221004</v>
      </c>
      <c r="E126" s="14">
        <f t="shared" si="19"/>
        <v>3.6090656243354555</v>
      </c>
      <c r="F126" s="14">
        <f t="shared" si="20"/>
        <v>14.776758213700582</v>
      </c>
      <c r="G126" s="35">
        <f t="shared" si="21"/>
        <v>16.763657394197683</v>
      </c>
      <c r="I126" s="96">
        <f t="shared" si="22"/>
        <v>60</v>
      </c>
      <c r="J126" s="97">
        <f t="shared" si="23"/>
        <v>36.931528766385206</v>
      </c>
    </row>
    <row r="127" spans="1:10" s="89" customFormat="1" ht="15" thickBot="1" x14ac:dyDescent="0.35">
      <c r="A127" s="52">
        <f>COUNT(A117:A126)</f>
        <v>10</v>
      </c>
      <c r="B127" s="31">
        <f t="shared" ref="B127:G127" si="25">SUM(B117:B126)</f>
        <v>4980</v>
      </c>
      <c r="C127" s="32">
        <f t="shared" si="25"/>
        <v>158.43625840779254</v>
      </c>
      <c r="D127" s="56">
        <f t="shared" si="25"/>
        <v>58.155470613943052</v>
      </c>
      <c r="E127" s="56">
        <f t="shared" si="25"/>
        <v>26.335197314256838</v>
      </c>
      <c r="F127" s="56">
        <f t="shared" si="25"/>
        <v>148.45691096288817</v>
      </c>
      <c r="G127" s="100">
        <f t="shared" si="25"/>
        <v>346.94351545216267</v>
      </c>
      <c r="H127" s="93"/>
      <c r="I127" s="91"/>
    </row>
    <row r="128" spans="1:10" s="89" customFormat="1" ht="15" thickBot="1" x14ac:dyDescent="0.35">
      <c r="A128" s="46" t="s">
        <v>96</v>
      </c>
      <c r="B128" s="47">
        <f>((F127*D127)-(G127*E127))/((D127^2)-(G127*A127))</f>
        <v>5.7595009449154269</v>
      </c>
      <c r="C128" s="48" t="s">
        <v>95</v>
      </c>
      <c r="D128" s="49">
        <f>EXP(B128)</f>
        <v>317.18999413289919</v>
      </c>
      <c r="E128" s="50" t="s">
        <v>101</v>
      </c>
      <c r="F128" s="47">
        <f>(E127-(A127*B128))/D127</f>
        <v>-0.53752143701856214</v>
      </c>
      <c r="G128" s="51"/>
      <c r="H128" s="93"/>
      <c r="I128" s="91"/>
    </row>
    <row r="129" spans="1:9" s="89" customFormat="1" x14ac:dyDescent="0.3">
      <c r="A129" s="106"/>
      <c r="B129" s="107"/>
      <c r="C129" s="108"/>
      <c r="D129" s="107"/>
      <c r="E129" s="108"/>
      <c r="F129" s="107"/>
      <c r="G129" s="109"/>
      <c r="H129" s="93"/>
      <c r="I129" s="91"/>
    </row>
    <row r="130" spans="1:9" s="89" customFormat="1" x14ac:dyDescent="0.3">
      <c r="A130" s="106"/>
      <c r="B130" s="107"/>
      <c r="C130" s="108"/>
      <c r="D130" s="107"/>
      <c r="E130" s="108"/>
      <c r="F130" s="107"/>
      <c r="G130" s="109"/>
      <c r="H130" s="93"/>
      <c r="I130" s="91"/>
    </row>
    <row r="131" spans="1:9" s="89" customFormat="1" x14ac:dyDescent="0.3">
      <c r="A131" s="106"/>
      <c r="B131" s="107"/>
      <c r="C131" s="108"/>
      <c r="D131" s="107"/>
      <c r="E131" s="108"/>
      <c r="F131" s="107"/>
      <c r="G131" s="109"/>
      <c r="H131" s="93"/>
      <c r="I131" s="91"/>
    </row>
    <row r="132" spans="1:9" s="89" customFormat="1" x14ac:dyDescent="0.3">
      <c r="A132" s="106"/>
      <c r="B132" s="107"/>
      <c r="C132" s="108"/>
      <c r="D132" s="107"/>
      <c r="E132" s="108"/>
      <c r="F132" s="107"/>
      <c r="G132" s="109"/>
      <c r="H132" s="93"/>
      <c r="I132" s="91"/>
    </row>
    <row r="133" spans="1:9" s="89" customFormat="1" x14ac:dyDescent="0.3">
      <c r="A133" s="106"/>
      <c r="B133" s="107"/>
      <c r="C133" s="108"/>
      <c r="D133" s="107"/>
      <c r="E133" s="108"/>
      <c r="F133" s="107"/>
      <c r="G133" s="109"/>
      <c r="H133" s="93"/>
      <c r="I133" s="91"/>
    </row>
    <row r="134" spans="1:9" s="89" customFormat="1" x14ac:dyDescent="0.3">
      <c r="A134" s="106"/>
      <c r="B134" s="107"/>
      <c r="C134" s="108"/>
      <c r="D134" s="107"/>
      <c r="E134" s="108"/>
      <c r="F134" s="107"/>
      <c r="G134" s="109"/>
      <c r="H134" s="93"/>
      <c r="I134" s="91"/>
    </row>
    <row r="135" spans="1:9" s="89" customFormat="1" x14ac:dyDescent="0.3">
      <c r="A135" s="106"/>
      <c r="B135" s="107"/>
      <c r="C135" s="108"/>
      <c r="D135" s="107"/>
      <c r="E135" s="108"/>
      <c r="F135" s="107"/>
      <c r="G135" s="109"/>
      <c r="H135" s="93"/>
      <c r="I135" s="91"/>
    </row>
    <row r="136" spans="1:9" s="89" customFormat="1" x14ac:dyDescent="0.3">
      <c r="A136" s="106"/>
      <c r="B136" s="107"/>
      <c r="C136" s="108"/>
      <c r="D136" s="107"/>
      <c r="E136" s="108"/>
      <c r="F136" s="107"/>
      <c r="G136" s="109"/>
      <c r="H136" s="93"/>
      <c r="I136" s="91"/>
    </row>
    <row r="137" spans="1:9" s="89" customFormat="1" x14ac:dyDescent="0.3">
      <c r="A137" s="106"/>
      <c r="B137" s="107"/>
      <c r="C137" s="108"/>
      <c r="D137" s="107"/>
      <c r="E137" s="108"/>
      <c r="F137" s="107"/>
      <c r="G137" s="109"/>
      <c r="H137" s="93"/>
      <c r="I137" s="91"/>
    </row>
    <row r="138" spans="1:9" s="89" customFormat="1" x14ac:dyDescent="0.3">
      <c r="A138" s="106"/>
      <c r="B138" s="107"/>
      <c r="C138" s="108"/>
      <c r="D138" s="107"/>
      <c r="E138" s="108"/>
      <c r="F138" s="107"/>
      <c r="G138" s="109"/>
      <c r="H138" s="93"/>
      <c r="I138" s="91"/>
    </row>
    <row r="139" spans="1:9" s="89" customFormat="1" x14ac:dyDescent="0.3">
      <c r="A139" s="106"/>
      <c r="B139" s="107"/>
      <c r="C139" s="108"/>
      <c r="D139" s="107"/>
      <c r="E139" s="108"/>
      <c r="F139" s="107"/>
      <c r="G139" s="109"/>
      <c r="H139" s="93"/>
      <c r="I139" s="91"/>
    </row>
    <row r="140" spans="1:9" s="89" customFormat="1" x14ac:dyDescent="0.3">
      <c r="A140" s="106"/>
      <c r="B140" s="107"/>
      <c r="C140" s="108"/>
      <c r="D140" s="107"/>
      <c r="E140" s="108"/>
      <c r="F140" s="107"/>
      <c r="G140" s="109"/>
      <c r="H140" s="93"/>
      <c r="I140" s="91"/>
    </row>
    <row r="141" spans="1:9" s="89" customFormat="1" x14ac:dyDescent="0.3">
      <c r="A141" s="106"/>
      <c r="B141" s="107"/>
      <c r="C141" s="108"/>
      <c r="D141" s="107"/>
      <c r="E141" s="108"/>
      <c r="F141" s="107"/>
      <c r="G141" s="109"/>
      <c r="H141" s="93"/>
      <c r="I141" s="91"/>
    </row>
    <row r="142" spans="1:9" s="89" customFormat="1" x14ac:dyDescent="0.3">
      <c r="A142" s="106"/>
      <c r="B142" s="107"/>
      <c r="C142" s="108"/>
      <c r="D142" s="107"/>
      <c r="E142" s="108"/>
      <c r="F142" s="107"/>
      <c r="G142" s="109"/>
      <c r="H142" s="93"/>
      <c r="I142" s="91"/>
    </row>
    <row r="143" spans="1:9" s="89" customFormat="1" x14ac:dyDescent="0.3">
      <c r="A143" s="106"/>
      <c r="B143" s="107"/>
      <c r="C143" s="108"/>
      <c r="D143" s="107"/>
      <c r="E143" s="108"/>
      <c r="F143" s="107"/>
      <c r="G143" s="109"/>
      <c r="H143" s="93"/>
      <c r="I143" s="91"/>
    </row>
    <row r="144" spans="1:9" s="89" customFormat="1" x14ac:dyDescent="0.3">
      <c r="A144" s="106"/>
      <c r="B144" s="107"/>
      <c r="C144" s="108"/>
      <c r="D144" s="107"/>
      <c r="E144" s="108"/>
      <c r="F144" s="107"/>
      <c r="G144" s="109"/>
      <c r="H144" s="93"/>
      <c r="I144" s="91"/>
    </row>
    <row r="145" spans="1:9" s="89" customFormat="1" x14ac:dyDescent="0.3">
      <c r="A145" s="106"/>
      <c r="B145" s="107"/>
      <c r="C145" s="108"/>
      <c r="D145" s="107"/>
      <c r="E145" s="108"/>
      <c r="F145" s="107"/>
      <c r="G145" s="109"/>
      <c r="H145" s="93"/>
      <c r="I145" s="91"/>
    </row>
    <row r="146" spans="1:9" s="89" customFormat="1" x14ac:dyDescent="0.3">
      <c r="A146" s="106"/>
      <c r="B146" s="107"/>
      <c r="C146" s="108"/>
      <c r="D146" s="107"/>
      <c r="E146" s="108"/>
      <c r="F146" s="107"/>
      <c r="G146" s="109"/>
      <c r="H146" s="93"/>
      <c r="I146" s="91"/>
    </row>
    <row r="147" spans="1:9" s="89" customFormat="1" x14ac:dyDescent="0.3">
      <c r="A147" s="102"/>
      <c r="B147" s="103"/>
      <c r="C147" s="104"/>
      <c r="D147" s="103"/>
      <c r="E147" s="104"/>
      <c r="F147" s="103"/>
      <c r="G147" s="92"/>
      <c r="H147" s="93"/>
      <c r="I147" s="91"/>
    </row>
    <row r="148" spans="1:9" s="89" customFormat="1" x14ac:dyDescent="0.3">
      <c r="A148" s="286" t="s">
        <v>97</v>
      </c>
      <c r="B148" s="286"/>
      <c r="C148" s="286"/>
      <c r="D148" s="286"/>
      <c r="E148" s="286"/>
      <c r="F148" s="286"/>
      <c r="G148" s="286"/>
      <c r="H148" s="93"/>
      <c r="I148" s="91"/>
    </row>
    <row r="149" spans="1:9" s="89" customFormat="1" x14ac:dyDescent="0.3">
      <c r="H149" s="93"/>
      <c r="I149" s="91"/>
    </row>
    <row r="150" spans="1:9" s="89" customFormat="1" x14ac:dyDescent="0.3">
      <c r="A150" s="91"/>
      <c r="B150" s="90"/>
      <c r="C150" s="90"/>
      <c r="D150" s="90"/>
      <c r="E150" s="90"/>
      <c r="F150" s="90"/>
      <c r="G150" s="90"/>
      <c r="H150" s="93"/>
      <c r="I150" s="91"/>
    </row>
    <row r="151" spans="1:9" s="89" customFormat="1" x14ac:dyDescent="0.3">
      <c r="A151" s="91"/>
      <c r="B151" s="90"/>
      <c r="C151" s="90"/>
      <c r="D151" s="90"/>
      <c r="E151" s="90"/>
      <c r="F151" s="90"/>
      <c r="G151" s="90"/>
      <c r="H151" s="93"/>
      <c r="I151" s="91"/>
    </row>
    <row r="152" spans="1:9" s="89" customFormat="1" x14ac:dyDescent="0.3">
      <c r="A152" s="90" t="s">
        <v>87</v>
      </c>
      <c r="B152" s="90"/>
      <c r="C152" s="90"/>
      <c r="D152" s="90"/>
      <c r="E152" s="90"/>
      <c r="F152" s="90"/>
      <c r="G152" s="90"/>
      <c r="H152" s="93"/>
      <c r="I152" s="91"/>
    </row>
    <row r="153" spans="1:9" s="89" customFormat="1" x14ac:dyDescent="0.3">
      <c r="A153" s="90"/>
      <c r="B153" s="90" t="s">
        <v>74</v>
      </c>
      <c r="C153" s="90" t="s">
        <v>73</v>
      </c>
      <c r="D153" s="90"/>
      <c r="E153" s="90"/>
      <c r="F153" s="90"/>
      <c r="G153" s="90"/>
      <c r="H153" s="93"/>
      <c r="I153" s="91"/>
    </row>
    <row r="154" spans="1:9" s="89" customFormat="1" x14ac:dyDescent="0.3">
      <c r="A154" s="90"/>
      <c r="B154" s="90" t="s">
        <v>72</v>
      </c>
      <c r="C154" s="90" t="s">
        <v>71</v>
      </c>
      <c r="D154" s="90"/>
      <c r="E154" s="90"/>
      <c r="F154" s="90"/>
      <c r="G154" s="90"/>
      <c r="H154" s="93"/>
      <c r="I154" s="91"/>
    </row>
    <row r="155" spans="1:9" s="89" customFormat="1" x14ac:dyDescent="0.3">
      <c r="A155" s="90"/>
      <c r="B155" s="90" t="s">
        <v>70</v>
      </c>
      <c r="C155" s="90" t="s">
        <v>69</v>
      </c>
      <c r="D155" s="90"/>
      <c r="E155" s="90"/>
      <c r="F155" s="90"/>
      <c r="G155" s="90"/>
      <c r="H155" s="93"/>
      <c r="I155" s="91"/>
    </row>
    <row r="156" spans="1:9" s="89" customFormat="1" x14ac:dyDescent="0.3">
      <c r="A156" s="90"/>
      <c r="B156" s="90" t="s">
        <v>100</v>
      </c>
      <c r="C156" s="90" t="s">
        <v>68</v>
      </c>
      <c r="D156" s="90"/>
      <c r="E156" s="90"/>
      <c r="F156" s="90"/>
      <c r="G156" s="90"/>
      <c r="H156" s="93"/>
      <c r="I156" s="91"/>
    </row>
    <row r="157" spans="1:9" s="89" customFormat="1" x14ac:dyDescent="0.3">
      <c r="E157" s="90"/>
      <c r="F157" s="90"/>
      <c r="G157" s="90"/>
      <c r="H157" s="93"/>
      <c r="I157" s="91"/>
    </row>
    <row r="158" spans="1:9" s="89" customFormat="1" x14ac:dyDescent="0.3">
      <c r="A158" s="92" t="s">
        <v>67</v>
      </c>
      <c r="B158" s="90"/>
      <c r="C158" s="90"/>
      <c r="D158" s="90"/>
      <c r="E158" s="90"/>
      <c r="F158" s="90"/>
      <c r="G158" s="90"/>
      <c r="H158" s="93"/>
      <c r="I158" s="91"/>
    </row>
    <row r="159" spans="1:9" s="89" customFormat="1" x14ac:dyDescent="0.3">
      <c r="E159" s="90"/>
      <c r="F159" s="90"/>
      <c r="G159" s="90"/>
      <c r="H159" s="93"/>
      <c r="I159" s="91"/>
    </row>
    <row r="160" spans="1:9" s="89" customFormat="1" x14ac:dyDescent="0.3">
      <c r="B160" s="90"/>
      <c r="C160" s="90"/>
      <c r="D160" s="90"/>
      <c r="E160" s="90"/>
      <c r="F160" s="90"/>
      <c r="G160" s="90"/>
      <c r="H160" s="93"/>
      <c r="I160" s="91"/>
    </row>
    <row r="161" spans="1:10" s="89" customFormat="1" x14ac:dyDescent="0.3">
      <c r="A161" s="92" t="s">
        <v>98</v>
      </c>
      <c r="B161" s="90"/>
      <c r="C161" s="90"/>
      <c r="D161" s="90"/>
      <c r="E161" s="90"/>
      <c r="F161" s="90"/>
      <c r="G161" s="90"/>
      <c r="H161" s="93"/>
      <c r="I161" s="91"/>
    </row>
    <row r="162" spans="1:10" s="89" customFormat="1" x14ac:dyDescent="0.3">
      <c r="A162" s="90"/>
      <c r="B162" s="90"/>
      <c r="C162" s="90"/>
      <c r="D162" s="90"/>
      <c r="E162" s="90"/>
      <c r="F162" s="90"/>
      <c r="G162" s="90"/>
      <c r="H162" s="93"/>
      <c r="I162" s="91"/>
    </row>
    <row r="163" spans="1:10" s="89" customFormat="1" x14ac:dyDescent="0.3">
      <c r="I163" s="111"/>
      <c r="J163" s="111"/>
    </row>
    <row r="164" spans="1:10" s="89" customFormat="1" ht="15" thickBot="1" x14ac:dyDescent="0.35">
      <c r="A164" s="102"/>
      <c r="B164" s="103"/>
      <c r="C164" s="104"/>
      <c r="D164" s="103"/>
      <c r="E164" s="104"/>
      <c r="F164" s="103"/>
      <c r="G164" s="92"/>
      <c r="H164" s="93"/>
      <c r="I164" s="91"/>
    </row>
    <row r="165" spans="1:10" s="89" customFormat="1" ht="16.2" thickBot="1" x14ac:dyDescent="0.35">
      <c r="A165" s="283" t="s">
        <v>61</v>
      </c>
      <c r="B165" s="284"/>
      <c r="C165" s="284"/>
      <c r="D165" s="284"/>
      <c r="E165" s="284"/>
      <c r="F165" s="284"/>
      <c r="G165" s="285"/>
      <c r="I165" s="280" t="s">
        <v>60</v>
      </c>
      <c r="J165" s="280"/>
    </row>
    <row r="166" spans="1:10" s="89" customFormat="1" ht="15" thickBot="1" x14ac:dyDescent="0.35">
      <c r="A166" s="41" t="s">
        <v>37</v>
      </c>
      <c r="B166" s="42" t="s">
        <v>49</v>
      </c>
      <c r="C166" s="42" t="s">
        <v>48</v>
      </c>
      <c r="D166" s="42" t="s">
        <v>53</v>
      </c>
      <c r="E166" s="42" t="s">
        <v>52</v>
      </c>
      <c r="F166" s="42" t="s">
        <v>51</v>
      </c>
      <c r="G166" s="43" t="s">
        <v>50</v>
      </c>
      <c r="I166" s="98" t="s">
        <v>49</v>
      </c>
      <c r="J166" s="99" t="s">
        <v>48</v>
      </c>
    </row>
    <row r="167" spans="1:10" s="89" customFormat="1" x14ac:dyDescent="0.3">
      <c r="A167" s="44">
        <v>1</v>
      </c>
      <c r="B167" s="30">
        <f t="shared" ref="B167:B176" si="26">B117</f>
        <v>1440</v>
      </c>
      <c r="C167" s="36">
        <f>'Intensidad de precipitacion'!F8</f>
        <v>7.8657617693686559</v>
      </c>
      <c r="D167" s="12">
        <f t="shared" ref="D167:D176" si="27">IF(A167="","",LN(B167))</f>
        <v>7.2723983925700466</v>
      </c>
      <c r="E167" s="12">
        <f t="shared" ref="E167:E176" si="28">IF(B167="","",LN(C167))</f>
        <v>2.0625193874295316</v>
      </c>
      <c r="F167" s="12">
        <f t="shared" ref="F167:F176" si="29">IF(A167="","",D167*E167)</f>
        <v>14.999462677787083</v>
      </c>
      <c r="G167" s="33">
        <f t="shared" ref="G167:G176" si="30">IF(B167="","",D167^2)</f>
        <v>52.887778380255398</v>
      </c>
      <c r="I167" s="96">
        <f t="shared" ref="I167:I176" si="31">B167</f>
        <v>1440</v>
      </c>
      <c r="J167" s="97">
        <f t="shared" ref="J167:J176" si="32">C167</f>
        <v>7.8657617693686559</v>
      </c>
    </row>
    <row r="168" spans="1:10" s="89" customFormat="1" x14ac:dyDescent="0.3">
      <c r="A168" s="45">
        <f t="shared" ref="A168:A176" si="33">A167+1</f>
        <v>2</v>
      </c>
      <c r="B168" s="37">
        <f t="shared" si="26"/>
        <v>1080</v>
      </c>
      <c r="C168" s="38">
        <f>'Intensidad de precipitacion'!F9</f>
        <v>8.2852690637349848</v>
      </c>
      <c r="D168" s="13">
        <f t="shared" si="27"/>
        <v>6.9847163201182658</v>
      </c>
      <c r="E168" s="13">
        <f t="shared" si="28"/>
        <v>2.1144791263602429</v>
      </c>
      <c r="F168" s="13">
        <f t="shared" si="29"/>
        <v>14.769036862437801</v>
      </c>
      <c r="G168" s="34">
        <f t="shared" si="30"/>
        <v>48.786262072526448</v>
      </c>
      <c r="I168" s="96">
        <f t="shared" si="31"/>
        <v>1080</v>
      </c>
      <c r="J168" s="97">
        <f t="shared" si="32"/>
        <v>8.2852690637349848</v>
      </c>
    </row>
    <row r="169" spans="1:10" s="89" customFormat="1" x14ac:dyDescent="0.3">
      <c r="A169" s="45">
        <f t="shared" si="33"/>
        <v>3</v>
      </c>
      <c r="B169" s="37">
        <f t="shared" si="26"/>
        <v>720</v>
      </c>
      <c r="C169" s="38">
        <f>'Intensidad de precipitacion'!F10</f>
        <v>12.427903595602478</v>
      </c>
      <c r="D169" s="13">
        <f t="shared" si="27"/>
        <v>6.5792512120101012</v>
      </c>
      <c r="E169" s="13">
        <f t="shared" si="28"/>
        <v>2.5199442344684071</v>
      </c>
      <c r="F169" s="13">
        <f t="shared" si="29"/>
        <v>16.579346158824134</v>
      </c>
      <c r="G169" s="34">
        <f t="shared" si="30"/>
        <v>43.286546510736386</v>
      </c>
      <c r="I169" s="96">
        <f t="shared" si="31"/>
        <v>720</v>
      </c>
      <c r="J169" s="97">
        <f t="shared" si="32"/>
        <v>12.427903595602478</v>
      </c>
    </row>
    <row r="170" spans="1:10" s="89" customFormat="1" x14ac:dyDescent="0.3">
      <c r="A170" s="45">
        <f t="shared" si="33"/>
        <v>4</v>
      </c>
      <c r="B170" s="37">
        <f t="shared" si="26"/>
        <v>480</v>
      </c>
      <c r="C170" s="38">
        <f>'Intensidad de precipitacion'!F11</f>
        <v>15.102262597187819</v>
      </c>
      <c r="D170" s="13">
        <f t="shared" si="27"/>
        <v>6.1737861039019366</v>
      </c>
      <c r="E170" s="13">
        <f t="shared" si="28"/>
        <v>2.7148445734692217</v>
      </c>
      <c r="F170" s="13">
        <f t="shared" si="29"/>
        <v>16.76086970193786</v>
      </c>
      <c r="G170" s="34">
        <f t="shared" si="30"/>
        <v>38.115634856732655</v>
      </c>
      <c r="I170" s="96">
        <f t="shared" si="31"/>
        <v>480</v>
      </c>
      <c r="J170" s="97">
        <f t="shared" si="32"/>
        <v>15.102262597187819</v>
      </c>
    </row>
    <row r="171" spans="1:10" s="89" customFormat="1" x14ac:dyDescent="0.3">
      <c r="A171" s="45">
        <f t="shared" si="33"/>
        <v>5</v>
      </c>
      <c r="B171" s="37">
        <f t="shared" si="26"/>
        <v>360</v>
      </c>
      <c r="C171" s="38">
        <f>'Intensidad de precipitacion'!F12</f>
        <v>17.619306363385792</v>
      </c>
      <c r="D171" s="13">
        <f t="shared" si="27"/>
        <v>5.8861040314501558</v>
      </c>
      <c r="E171" s="13">
        <f t="shared" si="28"/>
        <v>2.8689952532964802</v>
      </c>
      <c r="F171" s="13">
        <f t="shared" si="29"/>
        <v>16.887204526639774</v>
      </c>
      <c r="G171" s="34">
        <f t="shared" si="30"/>
        <v>34.646220669053776</v>
      </c>
      <c r="I171" s="96">
        <f t="shared" si="31"/>
        <v>360</v>
      </c>
      <c r="J171" s="97">
        <f t="shared" si="32"/>
        <v>17.619306363385792</v>
      </c>
    </row>
    <row r="172" spans="1:10" s="89" customFormat="1" x14ac:dyDescent="0.3">
      <c r="A172" s="45">
        <f t="shared" si="33"/>
        <v>6</v>
      </c>
      <c r="B172" s="37">
        <f t="shared" si="26"/>
        <v>300</v>
      </c>
      <c r="C172" s="38">
        <f>'Intensidad de precipitacion'!F13</f>
        <v>18.877828246484775</v>
      </c>
      <c r="D172" s="13">
        <f t="shared" si="27"/>
        <v>5.7037824746562009</v>
      </c>
      <c r="E172" s="13">
        <f t="shared" si="28"/>
        <v>2.9379881247834314</v>
      </c>
      <c r="F172" s="13">
        <f t="shared" si="29"/>
        <v>16.75764517688777</v>
      </c>
      <c r="G172" s="34">
        <f t="shared" si="30"/>
        <v>32.533134518195219</v>
      </c>
      <c r="I172" s="96">
        <f t="shared" si="31"/>
        <v>300</v>
      </c>
      <c r="J172" s="97">
        <f t="shared" si="32"/>
        <v>18.877828246484775</v>
      </c>
    </row>
    <row r="173" spans="1:10" s="89" customFormat="1" x14ac:dyDescent="0.3">
      <c r="A173" s="45">
        <f t="shared" si="33"/>
        <v>7</v>
      </c>
      <c r="B173" s="37">
        <f t="shared" si="26"/>
        <v>240</v>
      </c>
      <c r="C173" s="38">
        <f>'Intensidad de precipitacion'!F14</f>
        <v>20.76561107113325</v>
      </c>
      <c r="D173" s="13">
        <f t="shared" si="27"/>
        <v>5.4806389233419912</v>
      </c>
      <c r="E173" s="13">
        <f t="shared" si="28"/>
        <v>3.0332983045877562</v>
      </c>
      <c r="F173" s="13">
        <f t="shared" si="29"/>
        <v>16.624412754230928</v>
      </c>
      <c r="G173" s="34">
        <f t="shared" si="30"/>
        <v>30.03740300805126</v>
      </c>
      <c r="I173" s="96">
        <f t="shared" si="31"/>
        <v>240</v>
      </c>
      <c r="J173" s="97">
        <f t="shared" si="32"/>
        <v>20.76561107113325</v>
      </c>
    </row>
    <row r="174" spans="1:10" s="89" customFormat="1" x14ac:dyDescent="0.3">
      <c r="A174" s="45">
        <f t="shared" si="33"/>
        <v>8</v>
      </c>
      <c r="B174" s="37">
        <f t="shared" si="26"/>
        <v>180</v>
      </c>
      <c r="C174" s="38">
        <f>'Intensidad de precipitacion'!F15</f>
        <v>23.911915778880712</v>
      </c>
      <c r="D174" s="13">
        <f t="shared" si="27"/>
        <v>5.1929568508902104</v>
      </c>
      <c r="E174" s="13">
        <f t="shared" si="28"/>
        <v>3.1743769028476621</v>
      </c>
      <c r="F174" s="13">
        <f t="shared" si="29"/>
        <v>16.484402284950413</v>
      </c>
      <c r="G174" s="34">
        <f t="shared" si="30"/>
        <v>26.96680085520757</v>
      </c>
      <c r="I174" s="96">
        <f t="shared" si="31"/>
        <v>180</v>
      </c>
      <c r="J174" s="97">
        <f t="shared" si="32"/>
        <v>23.911915778880712</v>
      </c>
    </row>
    <row r="175" spans="1:10" s="89" customFormat="1" x14ac:dyDescent="0.3">
      <c r="A175" s="45">
        <f t="shared" si="33"/>
        <v>9</v>
      </c>
      <c r="B175" s="37">
        <f t="shared" si="26"/>
        <v>120</v>
      </c>
      <c r="C175" s="38">
        <f>'Intensidad de precipitacion'!F16</f>
        <v>29.2606337820514</v>
      </c>
      <c r="D175" s="13">
        <f t="shared" si="27"/>
        <v>4.7874917427820458</v>
      </c>
      <c r="E175" s="13">
        <f t="shared" si="28"/>
        <v>3.3762430557145868</v>
      </c>
      <c r="F175" s="13">
        <f t="shared" si="29"/>
        <v>16.163735750858805</v>
      </c>
      <c r="G175" s="34">
        <f t="shared" si="30"/>
        <v>22.920077187206271</v>
      </c>
      <c r="I175" s="96">
        <f t="shared" si="31"/>
        <v>120</v>
      </c>
      <c r="J175" s="97">
        <f t="shared" si="32"/>
        <v>29.2606337820514</v>
      </c>
    </row>
    <row r="176" spans="1:10" s="89" customFormat="1" ht="15" thickBot="1" x14ac:dyDescent="0.35">
      <c r="A176" s="18">
        <f t="shared" si="33"/>
        <v>10</v>
      </c>
      <c r="B176" s="39">
        <f t="shared" si="26"/>
        <v>60</v>
      </c>
      <c r="C176" s="40">
        <f>'Intensidad de precipitacion'!F17</f>
        <v>47.194570616211934</v>
      </c>
      <c r="D176" s="14">
        <f t="shared" si="27"/>
        <v>4.0943445622221004</v>
      </c>
      <c r="E176" s="14">
        <f t="shared" si="28"/>
        <v>3.8542788566575865</v>
      </c>
      <c r="F176" s="14">
        <f t="shared" si="29"/>
        <v>15.780745678043603</v>
      </c>
      <c r="G176" s="35">
        <f t="shared" si="30"/>
        <v>16.763657394197683</v>
      </c>
      <c r="I176" s="96">
        <f t="shared" si="31"/>
        <v>60</v>
      </c>
      <c r="J176" s="97">
        <f t="shared" si="32"/>
        <v>47.194570616211934</v>
      </c>
    </row>
    <row r="177" spans="1:9" s="89" customFormat="1" ht="15" thickBot="1" x14ac:dyDescent="0.35">
      <c r="A177" s="52">
        <f>COUNT(A167:A176)</f>
        <v>10</v>
      </c>
      <c r="B177" s="31">
        <f t="shared" ref="B177:G177" si="34">SUM(B167:B176)</f>
        <v>4980</v>
      </c>
      <c r="C177" s="32">
        <f t="shared" si="34"/>
        <v>201.3110628840418</v>
      </c>
      <c r="D177" s="56">
        <f t="shared" si="34"/>
        <v>58.155470613943052</v>
      </c>
      <c r="E177" s="56">
        <f t="shared" si="34"/>
        <v>28.656967819614906</v>
      </c>
      <c r="F177" s="56">
        <f t="shared" si="34"/>
        <v>161.80686157259817</v>
      </c>
      <c r="G177" s="100">
        <f t="shared" si="34"/>
        <v>346.94351545216267</v>
      </c>
      <c r="H177" s="93"/>
      <c r="I177" s="91"/>
    </row>
    <row r="178" spans="1:9" s="89" customFormat="1" ht="15" thickBot="1" x14ac:dyDescent="0.35">
      <c r="A178" s="46" t="s">
        <v>96</v>
      </c>
      <c r="B178" s="47">
        <f>((F177*D177)-(G177*E177))/((D177^2)-(G177*A177))</f>
        <v>6.093121504085353</v>
      </c>
      <c r="C178" s="48" t="s">
        <v>95</v>
      </c>
      <c r="D178" s="49">
        <f>EXP(B178)</f>
        <v>442.80146268190157</v>
      </c>
      <c r="E178" s="50" t="s">
        <v>101</v>
      </c>
      <c r="F178" s="47">
        <f>(E177-(A177*B178))/D177</f>
        <v>-0.55496493933454161</v>
      </c>
      <c r="G178" s="51"/>
      <c r="H178" s="93"/>
      <c r="I178" s="91"/>
    </row>
    <row r="179" spans="1:9" s="89" customFormat="1" x14ac:dyDescent="0.3">
      <c r="A179" s="106"/>
      <c r="B179" s="107"/>
      <c r="C179" s="108"/>
      <c r="D179" s="107"/>
      <c r="E179" s="108"/>
      <c r="F179" s="107"/>
      <c r="G179" s="109"/>
      <c r="H179" s="93"/>
      <c r="I179" s="91"/>
    </row>
    <row r="180" spans="1:9" s="89" customFormat="1" x14ac:dyDescent="0.3">
      <c r="A180" s="106"/>
      <c r="B180" s="107"/>
      <c r="C180" s="108"/>
      <c r="D180" s="107"/>
      <c r="E180" s="108"/>
      <c r="F180" s="107"/>
      <c r="G180" s="109"/>
      <c r="H180" s="93"/>
      <c r="I180" s="91"/>
    </row>
    <row r="181" spans="1:9" s="89" customFormat="1" x14ac:dyDescent="0.3">
      <c r="A181" s="106"/>
      <c r="B181" s="107"/>
      <c r="C181" s="108"/>
      <c r="D181" s="107"/>
      <c r="E181" s="108"/>
      <c r="F181" s="107"/>
      <c r="G181" s="109"/>
      <c r="H181" s="93"/>
      <c r="I181" s="91"/>
    </row>
    <row r="182" spans="1:9" s="89" customFormat="1" x14ac:dyDescent="0.3">
      <c r="A182" s="106"/>
      <c r="B182" s="107"/>
      <c r="C182" s="108"/>
      <c r="D182" s="107"/>
      <c r="E182" s="108"/>
      <c r="F182" s="107"/>
      <c r="G182" s="109"/>
      <c r="H182" s="93"/>
      <c r="I182" s="91"/>
    </row>
    <row r="183" spans="1:9" s="89" customFormat="1" x14ac:dyDescent="0.3">
      <c r="A183" s="106"/>
      <c r="B183" s="107"/>
      <c r="C183" s="108"/>
      <c r="D183" s="107"/>
      <c r="E183" s="108"/>
      <c r="F183" s="107"/>
      <c r="G183" s="109"/>
      <c r="H183" s="93"/>
      <c r="I183" s="91"/>
    </row>
    <row r="184" spans="1:9" s="89" customFormat="1" x14ac:dyDescent="0.3">
      <c r="A184" s="106"/>
      <c r="B184" s="107"/>
      <c r="C184" s="108"/>
      <c r="D184" s="107"/>
      <c r="E184" s="108"/>
      <c r="F184" s="107"/>
      <c r="G184" s="109"/>
      <c r="H184" s="93"/>
      <c r="I184" s="91"/>
    </row>
    <row r="185" spans="1:9" s="89" customFormat="1" x14ac:dyDescent="0.3">
      <c r="A185" s="106"/>
      <c r="B185" s="107"/>
      <c r="C185" s="108"/>
      <c r="D185" s="107"/>
      <c r="E185" s="108"/>
      <c r="F185" s="107"/>
      <c r="G185" s="109"/>
      <c r="H185" s="93"/>
      <c r="I185" s="91"/>
    </row>
    <row r="186" spans="1:9" s="89" customFormat="1" x14ac:dyDescent="0.3">
      <c r="A186" s="106"/>
      <c r="B186" s="107"/>
      <c r="C186" s="108"/>
      <c r="D186" s="107"/>
      <c r="E186" s="108"/>
      <c r="F186" s="107"/>
      <c r="G186" s="109"/>
      <c r="H186" s="93"/>
      <c r="I186" s="91"/>
    </row>
    <row r="187" spans="1:9" s="89" customFormat="1" x14ac:dyDescent="0.3">
      <c r="A187" s="106"/>
      <c r="B187" s="107"/>
      <c r="C187" s="108"/>
      <c r="D187" s="107"/>
      <c r="E187" s="108"/>
      <c r="F187" s="107"/>
      <c r="G187" s="109"/>
      <c r="H187" s="93"/>
      <c r="I187" s="91"/>
    </row>
    <row r="188" spans="1:9" s="89" customFormat="1" x14ac:dyDescent="0.3">
      <c r="A188" s="106"/>
      <c r="B188" s="107"/>
      <c r="C188" s="108"/>
      <c r="D188" s="107"/>
      <c r="E188" s="108"/>
      <c r="F188" s="107"/>
      <c r="G188" s="109"/>
      <c r="H188" s="93"/>
      <c r="I188" s="91"/>
    </row>
    <row r="189" spans="1:9" s="89" customFormat="1" x14ac:dyDescent="0.3">
      <c r="A189" s="106"/>
      <c r="B189" s="107"/>
      <c r="C189" s="108"/>
      <c r="D189" s="107"/>
      <c r="E189" s="108"/>
      <c r="F189" s="107"/>
      <c r="G189" s="109"/>
      <c r="H189" s="93"/>
      <c r="I189" s="91"/>
    </row>
    <row r="190" spans="1:9" s="89" customFormat="1" x14ac:dyDescent="0.3">
      <c r="A190" s="106"/>
      <c r="B190" s="107"/>
      <c r="C190" s="108"/>
      <c r="D190" s="107"/>
      <c r="E190" s="108"/>
      <c r="F190" s="107"/>
      <c r="G190" s="109"/>
      <c r="H190" s="93"/>
      <c r="I190" s="91"/>
    </row>
    <row r="191" spans="1:9" s="89" customFormat="1" x14ac:dyDescent="0.3">
      <c r="A191" s="106"/>
      <c r="B191" s="107"/>
      <c r="C191" s="108"/>
      <c r="D191" s="107"/>
      <c r="E191" s="108"/>
      <c r="F191" s="107"/>
      <c r="G191" s="109"/>
      <c r="H191" s="93"/>
      <c r="I191" s="91"/>
    </row>
    <row r="192" spans="1:9" s="89" customFormat="1" x14ac:dyDescent="0.3">
      <c r="A192" s="106"/>
      <c r="B192" s="107"/>
      <c r="C192" s="108"/>
      <c r="D192" s="107"/>
      <c r="E192" s="108"/>
      <c r="F192" s="107"/>
      <c r="G192" s="109"/>
      <c r="H192" s="93"/>
      <c r="I192" s="91"/>
    </row>
    <row r="193" spans="1:9" s="89" customFormat="1" x14ac:dyDescent="0.3">
      <c r="A193" s="106"/>
      <c r="B193" s="107"/>
      <c r="C193" s="108"/>
      <c r="D193" s="107"/>
      <c r="E193" s="108"/>
      <c r="F193" s="107"/>
      <c r="G193" s="109"/>
      <c r="H193" s="93"/>
      <c r="I193" s="91"/>
    </row>
    <row r="194" spans="1:9" s="89" customFormat="1" x14ac:dyDescent="0.3">
      <c r="A194" s="106"/>
      <c r="B194" s="107"/>
      <c r="C194" s="108"/>
      <c r="D194" s="107"/>
      <c r="E194" s="108"/>
      <c r="F194" s="107"/>
      <c r="G194" s="109"/>
      <c r="H194" s="93"/>
      <c r="I194" s="91"/>
    </row>
    <row r="195" spans="1:9" s="89" customFormat="1" x14ac:dyDescent="0.3">
      <c r="A195" s="106"/>
      <c r="B195" s="107"/>
      <c r="C195" s="108"/>
      <c r="D195" s="107"/>
      <c r="E195" s="108"/>
      <c r="F195" s="107"/>
      <c r="G195" s="109"/>
      <c r="H195" s="93"/>
      <c r="I195" s="91"/>
    </row>
    <row r="196" spans="1:9" s="89" customFormat="1" x14ac:dyDescent="0.3">
      <c r="A196" s="106"/>
      <c r="B196" s="107"/>
      <c r="C196" s="108"/>
      <c r="D196" s="107"/>
      <c r="E196" s="108"/>
      <c r="F196" s="107"/>
      <c r="G196" s="109"/>
      <c r="H196" s="93"/>
      <c r="I196" s="91"/>
    </row>
    <row r="197" spans="1:9" s="89" customFormat="1" x14ac:dyDescent="0.3">
      <c r="A197" s="286" t="s">
        <v>97</v>
      </c>
      <c r="B197" s="286"/>
      <c r="C197" s="286"/>
      <c r="D197" s="286"/>
      <c r="E197" s="286"/>
      <c r="F197" s="286"/>
      <c r="G197" s="286"/>
      <c r="H197" s="93"/>
      <c r="I197" s="91"/>
    </row>
    <row r="198" spans="1:9" s="89" customFormat="1" x14ac:dyDescent="0.3">
      <c r="H198" s="93"/>
      <c r="I198" s="91"/>
    </row>
    <row r="199" spans="1:9" s="89" customFormat="1" x14ac:dyDescent="0.3">
      <c r="A199" s="91"/>
      <c r="B199" s="90"/>
      <c r="C199" s="90"/>
      <c r="D199" s="90"/>
      <c r="E199" s="90"/>
      <c r="F199" s="90"/>
      <c r="G199" s="90"/>
      <c r="H199" s="93"/>
      <c r="I199" s="91"/>
    </row>
    <row r="200" spans="1:9" s="89" customFormat="1" x14ac:dyDescent="0.3">
      <c r="A200" s="91"/>
      <c r="B200" s="90"/>
      <c r="C200" s="90"/>
      <c r="D200" s="90"/>
      <c r="E200" s="90"/>
      <c r="F200" s="90"/>
      <c r="G200" s="90"/>
      <c r="H200" s="93"/>
      <c r="I200" s="91"/>
    </row>
    <row r="201" spans="1:9" s="89" customFormat="1" x14ac:dyDescent="0.3">
      <c r="A201" s="90" t="s">
        <v>87</v>
      </c>
      <c r="B201" s="90"/>
      <c r="C201" s="90"/>
      <c r="D201" s="90"/>
      <c r="E201" s="90"/>
      <c r="F201" s="90"/>
      <c r="G201" s="90"/>
      <c r="H201" s="93"/>
      <c r="I201" s="91"/>
    </row>
    <row r="202" spans="1:9" s="89" customFormat="1" x14ac:dyDescent="0.3">
      <c r="A202" s="90"/>
      <c r="B202" s="90" t="s">
        <v>74</v>
      </c>
      <c r="C202" s="90" t="s">
        <v>73</v>
      </c>
      <c r="D202" s="90"/>
      <c r="E202" s="90"/>
      <c r="F202" s="90"/>
      <c r="G202" s="90"/>
      <c r="H202" s="93"/>
      <c r="I202" s="91"/>
    </row>
    <row r="203" spans="1:9" s="89" customFormat="1" x14ac:dyDescent="0.3">
      <c r="A203" s="90"/>
      <c r="B203" s="90" t="s">
        <v>72</v>
      </c>
      <c r="C203" s="90" t="s">
        <v>71</v>
      </c>
      <c r="D203" s="90"/>
      <c r="E203" s="90"/>
      <c r="F203" s="90"/>
      <c r="G203" s="90"/>
      <c r="H203" s="93"/>
      <c r="I203" s="91"/>
    </row>
    <row r="204" spans="1:9" s="89" customFormat="1" x14ac:dyDescent="0.3">
      <c r="A204" s="90"/>
      <c r="B204" s="90" t="s">
        <v>70</v>
      </c>
      <c r="C204" s="90" t="s">
        <v>69</v>
      </c>
      <c r="D204" s="90"/>
      <c r="E204" s="90"/>
      <c r="F204" s="90"/>
      <c r="G204" s="90"/>
      <c r="H204" s="93"/>
      <c r="I204" s="91"/>
    </row>
    <row r="205" spans="1:9" s="89" customFormat="1" x14ac:dyDescent="0.3">
      <c r="A205" s="90"/>
      <c r="B205" s="90" t="s">
        <v>100</v>
      </c>
      <c r="C205" s="90" t="s">
        <v>68</v>
      </c>
      <c r="D205" s="90"/>
      <c r="E205" s="90"/>
      <c r="F205" s="90"/>
      <c r="G205" s="90"/>
      <c r="H205" s="93"/>
      <c r="I205" s="91"/>
    </row>
    <row r="206" spans="1:9" s="89" customFormat="1" x14ac:dyDescent="0.3">
      <c r="E206" s="90"/>
      <c r="F206" s="90"/>
      <c r="G206" s="90"/>
      <c r="H206" s="93"/>
      <c r="I206" s="91"/>
    </row>
    <row r="207" spans="1:9" s="89" customFormat="1" x14ac:dyDescent="0.3">
      <c r="A207" s="92" t="s">
        <v>67</v>
      </c>
      <c r="B207" s="90"/>
      <c r="C207" s="90"/>
      <c r="D207" s="90"/>
      <c r="E207" s="90"/>
      <c r="F207" s="90"/>
      <c r="G207" s="90"/>
      <c r="H207" s="93"/>
      <c r="I207" s="91"/>
    </row>
    <row r="208" spans="1:9" s="89" customFormat="1" x14ac:dyDescent="0.3">
      <c r="E208" s="90"/>
      <c r="F208" s="90"/>
      <c r="G208" s="90"/>
      <c r="H208" s="93"/>
      <c r="I208" s="91"/>
    </row>
    <row r="209" spans="1:10" s="89" customFormat="1" x14ac:dyDescent="0.3">
      <c r="B209" s="90"/>
      <c r="C209" s="90"/>
      <c r="D209" s="90"/>
      <c r="E209" s="90"/>
      <c r="F209" s="90"/>
      <c r="G209" s="90"/>
      <c r="H209" s="93"/>
      <c r="I209" s="91"/>
    </row>
    <row r="210" spans="1:10" s="89" customFormat="1" x14ac:dyDescent="0.3">
      <c r="A210" s="92" t="s">
        <v>98</v>
      </c>
      <c r="B210" s="90"/>
      <c r="C210" s="90"/>
      <c r="D210" s="90"/>
      <c r="E210" s="90"/>
      <c r="F210" s="90"/>
      <c r="G210" s="90"/>
      <c r="H210" s="93"/>
      <c r="I210" s="91"/>
    </row>
    <row r="211" spans="1:10" s="89" customFormat="1" x14ac:dyDescent="0.3">
      <c r="A211" s="90"/>
      <c r="B211" s="90"/>
      <c r="C211" s="90"/>
      <c r="D211" s="90"/>
      <c r="E211" s="90"/>
      <c r="F211" s="90"/>
      <c r="G211" s="90"/>
      <c r="H211" s="93"/>
      <c r="I211" s="91"/>
    </row>
    <row r="212" spans="1:10" s="89" customFormat="1" x14ac:dyDescent="0.3">
      <c r="A212" s="102"/>
      <c r="B212" s="103"/>
      <c r="C212" s="104"/>
      <c r="D212" s="103"/>
      <c r="E212" s="104"/>
      <c r="F212" s="103"/>
      <c r="G212" s="92"/>
      <c r="H212" s="93"/>
      <c r="I212" s="91"/>
    </row>
    <row r="213" spans="1:10" s="89" customFormat="1" ht="15" thickBot="1" x14ac:dyDescent="0.35">
      <c r="A213" s="102"/>
      <c r="B213" s="103"/>
      <c r="C213" s="104"/>
      <c r="D213" s="103"/>
      <c r="E213" s="104"/>
      <c r="F213" s="103"/>
      <c r="G213" s="92"/>
      <c r="H213" s="93"/>
      <c r="I213" s="91"/>
    </row>
    <row r="214" spans="1:10" s="89" customFormat="1" ht="16.2" thickBot="1" x14ac:dyDescent="0.35">
      <c r="A214" s="283" t="s">
        <v>59</v>
      </c>
      <c r="B214" s="284"/>
      <c r="C214" s="284"/>
      <c r="D214" s="284"/>
      <c r="E214" s="284"/>
      <c r="F214" s="284"/>
      <c r="G214" s="285"/>
      <c r="I214" s="280" t="s">
        <v>58</v>
      </c>
      <c r="J214" s="280"/>
    </row>
    <row r="215" spans="1:10" s="89" customFormat="1" ht="15" thickBot="1" x14ac:dyDescent="0.35">
      <c r="A215" s="41" t="s">
        <v>37</v>
      </c>
      <c r="B215" s="42" t="s">
        <v>49</v>
      </c>
      <c r="C215" s="42" t="s">
        <v>48</v>
      </c>
      <c r="D215" s="42" t="s">
        <v>53</v>
      </c>
      <c r="E215" s="42" t="s">
        <v>52</v>
      </c>
      <c r="F215" s="42" t="s">
        <v>51</v>
      </c>
      <c r="G215" s="43" t="s">
        <v>50</v>
      </c>
      <c r="I215" s="98" t="s">
        <v>49</v>
      </c>
      <c r="J215" s="98" t="s">
        <v>48</v>
      </c>
    </row>
    <row r="216" spans="1:10" s="89" customFormat="1" x14ac:dyDescent="0.3">
      <c r="A216" s="44">
        <v>1</v>
      </c>
      <c r="B216" s="30">
        <f t="shared" ref="B216:B225" si="35">B167</f>
        <v>1440</v>
      </c>
      <c r="C216" s="36">
        <f>'Intensidad de precipitacion'!G8</f>
        <v>9.134713557402188</v>
      </c>
      <c r="D216" s="12">
        <f t="shared" ref="D216:D225" si="36">IF(A216="","",LN(B216))</f>
        <v>7.2723983925700466</v>
      </c>
      <c r="E216" s="12">
        <f t="shared" ref="E216:E225" si="37">IF(B216="","",LN(C216))</f>
        <v>2.2120818327321223</v>
      </c>
      <c r="F216" s="12">
        <f t="shared" ref="F216:F225" si="38">IF(A216="","",D216*E216)</f>
        <v>16.087140364594489</v>
      </c>
      <c r="G216" s="33">
        <f t="shared" ref="G216:G225" si="39">IF(B216="","",D216^2)</f>
        <v>52.887778380255398</v>
      </c>
      <c r="I216" s="96">
        <f t="shared" ref="I216:I225" si="40">B216</f>
        <v>1440</v>
      </c>
      <c r="J216" s="97">
        <f t="shared" ref="J216:J225" si="41">C216</f>
        <v>9.134713557402188</v>
      </c>
    </row>
    <row r="217" spans="1:10" s="89" customFormat="1" x14ac:dyDescent="0.3">
      <c r="A217" s="45">
        <f t="shared" ref="A217:A225" si="42">A216+1</f>
        <v>2</v>
      </c>
      <c r="B217" s="37">
        <f t="shared" si="35"/>
        <v>1080</v>
      </c>
      <c r="C217" s="38">
        <f>'Intensidad de precipitacion'!G9</f>
        <v>10.961656268882628</v>
      </c>
      <c r="D217" s="13">
        <f t="shared" si="36"/>
        <v>6.9847163201182658</v>
      </c>
      <c r="E217" s="13">
        <f t="shared" si="37"/>
        <v>2.3944033895260772</v>
      </c>
      <c r="F217" s="13">
        <f t="shared" si="38"/>
        <v>16.724228431769284</v>
      </c>
      <c r="G217" s="34">
        <f t="shared" si="39"/>
        <v>48.786262072526448</v>
      </c>
      <c r="I217" s="96">
        <f t="shared" si="40"/>
        <v>1080</v>
      </c>
      <c r="J217" s="97">
        <f t="shared" si="41"/>
        <v>10.961656268882628</v>
      </c>
    </row>
    <row r="218" spans="1:10" s="89" customFormat="1" x14ac:dyDescent="0.3">
      <c r="A218" s="45">
        <f t="shared" si="42"/>
        <v>3</v>
      </c>
      <c r="B218" s="37">
        <f t="shared" si="35"/>
        <v>720</v>
      </c>
      <c r="C218" s="38">
        <f>'Intensidad de precipitacion'!G10</f>
        <v>14.43284742069546</v>
      </c>
      <c r="D218" s="13">
        <f t="shared" si="36"/>
        <v>6.5792512120101012</v>
      </c>
      <c r="E218" s="13">
        <f t="shared" si="37"/>
        <v>2.6695066797709979</v>
      </c>
      <c r="F218" s="13">
        <f t="shared" si="38"/>
        <v>17.5633550583524</v>
      </c>
      <c r="G218" s="34">
        <f t="shared" si="39"/>
        <v>43.286546510736386</v>
      </c>
      <c r="I218" s="96">
        <f t="shared" si="40"/>
        <v>720</v>
      </c>
      <c r="J218" s="97">
        <f t="shared" si="41"/>
        <v>14.43284742069546</v>
      </c>
    </row>
    <row r="219" spans="1:10" s="89" customFormat="1" x14ac:dyDescent="0.3">
      <c r="A219" s="45">
        <f t="shared" si="42"/>
        <v>4</v>
      </c>
      <c r="B219" s="37">
        <f t="shared" si="35"/>
        <v>480</v>
      </c>
      <c r="C219" s="38">
        <f>'Intensidad de precipitacion'!G11</f>
        <v>17.538650030212203</v>
      </c>
      <c r="D219" s="13">
        <f t="shared" si="36"/>
        <v>6.1737861039019366</v>
      </c>
      <c r="E219" s="13">
        <f t="shared" si="37"/>
        <v>2.8644070187718125</v>
      </c>
      <c r="F219" s="13">
        <f t="shared" si="38"/>
        <v>17.684236248412589</v>
      </c>
      <c r="G219" s="34">
        <f t="shared" si="39"/>
        <v>38.115634856732655</v>
      </c>
      <c r="I219" s="96">
        <f t="shared" si="40"/>
        <v>480</v>
      </c>
      <c r="J219" s="97">
        <f t="shared" si="41"/>
        <v>17.538650030212203</v>
      </c>
    </row>
    <row r="220" spans="1:10" s="89" customFormat="1" x14ac:dyDescent="0.3">
      <c r="A220" s="45">
        <f t="shared" si="42"/>
        <v>5</v>
      </c>
      <c r="B220" s="37">
        <f t="shared" si="35"/>
        <v>360</v>
      </c>
      <c r="C220" s="38">
        <f>'Intensidad de precipitacion'!G12</f>
        <v>20.461758368580906</v>
      </c>
      <c r="D220" s="13">
        <f t="shared" si="36"/>
        <v>5.8861040314501558</v>
      </c>
      <c r="E220" s="13">
        <f t="shared" si="37"/>
        <v>3.018557698599071</v>
      </c>
      <c r="F220" s="13">
        <f t="shared" si="38"/>
        <v>17.767544638888896</v>
      </c>
      <c r="G220" s="34">
        <f t="shared" si="39"/>
        <v>34.646220669053776</v>
      </c>
      <c r="I220" s="96">
        <f t="shared" si="40"/>
        <v>360</v>
      </c>
      <c r="J220" s="97">
        <f t="shared" si="41"/>
        <v>20.461758368580906</v>
      </c>
    </row>
    <row r="221" spans="1:10" s="89" customFormat="1" x14ac:dyDescent="0.3">
      <c r="A221" s="45">
        <f t="shared" si="42"/>
        <v>6</v>
      </c>
      <c r="B221" s="37">
        <f t="shared" si="35"/>
        <v>300</v>
      </c>
      <c r="C221" s="38">
        <f>'Intensidad de precipitacion'!G13</f>
        <v>21.923312537765252</v>
      </c>
      <c r="D221" s="13">
        <f t="shared" si="36"/>
        <v>5.7037824746562009</v>
      </c>
      <c r="E221" s="13">
        <f t="shared" si="37"/>
        <v>3.0875505700860222</v>
      </c>
      <c r="F221" s="13">
        <f t="shared" si="38"/>
        <v>17.610716831271414</v>
      </c>
      <c r="G221" s="34">
        <f t="shared" si="39"/>
        <v>32.533134518195219</v>
      </c>
      <c r="I221" s="96">
        <f t="shared" si="40"/>
        <v>300</v>
      </c>
      <c r="J221" s="97">
        <f t="shared" si="41"/>
        <v>21.923312537765252</v>
      </c>
    </row>
    <row r="222" spans="1:10" s="89" customFormat="1" x14ac:dyDescent="0.3">
      <c r="A222" s="45">
        <f t="shared" si="42"/>
        <v>7</v>
      </c>
      <c r="B222" s="37">
        <f t="shared" si="35"/>
        <v>240</v>
      </c>
      <c r="C222" s="38">
        <f>'Intensidad de precipitacion'!G14</f>
        <v>24.115643791541778</v>
      </c>
      <c r="D222" s="13">
        <f t="shared" si="36"/>
        <v>5.4806389233419912</v>
      </c>
      <c r="E222" s="13">
        <f t="shared" si="37"/>
        <v>3.182860749890347</v>
      </c>
      <c r="F222" s="13">
        <f t="shared" si="38"/>
        <v>17.444110513426512</v>
      </c>
      <c r="G222" s="34">
        <f t="shared" si="39"/>
        <v>30.03740300805126</v>
      </c>
      <c r="I222" s="96">
        <f t="shared" si="40"/>
        <v>240</v>
      </c>
      <c r="J222" s="97">
        <f t="shared" si="41"/>
        <v>24.115643791541778</v>
      </c>
    </row>
    <row r="223" spans="1:10" s="89" customFormat="1" x14ac:dyDescent="0.3">
      <c r="A223" s="45">
        <f t="shared" si="42"/>
        <v>8</v>
      </c>
      <c r="B223" s="37">
        <f t="shared" si="35"/>
        <v>180</v>
      </c>
      <c r="C223" s="38">
        <f>'Intensidad de precipitacion'!G15</f>
        <v>27.769529214502654</v>
      </c>
      <c r="D223" s="13">
        <f t="shared" si="36"/>
        <v>5.1929568508902104</v>
      </c>
      <c r="E223" s="13">
        <f t="shared" si="37"/>
        <v>3.3239393481502528</v>
      </c>
      <c r="F223" s="13">
        <f t="shared" si="38"/>
        <v>17.261073609920395</v>
      </c>
      <c r="G223" s="34">
        <f t="shared" si="39"/>
        <v>26.96680085520757</v>
      </c>
      <c r="I223" s="96">
        <f t="shared" si="40"/>
        <v>180</v>
      </c>
      <c r="J223" s="97">
        <f t="shared" si="41"/>
        <v>27.769529214502654</v>
      </c>
    </row>
    <row r="224" spans="1:10" s="89" customFormat="1" x14ac:dyDescent="0.3">
      <c r="A224" s="45">
        <f t="shared" si="42"/>
        <v>9</v>
      </c>
      <c r="B224" s="37">
        <f t="shared" si="35"/>
        <v>120</v>
      </c>
      <c r="C224" s="38">
        <f>'Intensidad de precipitacion'!G16</f>
        <v>33.981134433536141</v>
      </c>
      <c r="D224" s="13">
        <f t="shared" si="36"/>
        <v>4.7874917427820458</v>
      </c>
      <c r="E224" s="13">
        <f t="shared" si="37"/>
        <v>3.5258055010171776</v>
      </c>
      <c r="F224" s="13">
        <f t="shared" si="38"/>
        <v>16.879764722775253</v>
      </c>
      <c r="G224" s="34">
        <f t="shared" si="39"/>
        <v>22.920077187206271</v>
      </c>
      <c r="I224" s="96">
        <f t="shared" si="40"/>
        <v>120</v>
      </c>
      <c r="J224" s="97">
        <f t="shared" si="41"/>
        <v>33.981134433536141</v>
      </c>
    </row>
    <row r="225" spans="1:10" s="89" customFormat="1" ht="15" thickBot="1" x14ac:dyDescent="0.35">
      <c r="A225" s="18">
        <f t="shared" si="42"/>
        <v>10</v>
      </c>
      <c r="B225" s="39">
        <f t="shared" si="35"/>
        <v>60</v>
      </c>
      <c r="C225" s="40">
        <f>'Intensidad de precipitacion'!G17</f>
        <v>54.808281344413132</v>
      </c>
      <c r="D225" s="14">
        <f t="shared" si="36"/>
        <v>4.0943445622221004</v>
      </c>
      <c r="E225" s="14">
        <f t="shared" si="37"/>
        <v>4.0038413019601773</v>
      </c>
      <c r="F225" s="14">
        <f t="shared" si="38"/>
        <v>16.393105862680908</v>
      </c>
      <c r="G225" s="35">
        <f t="shared" si="39"/>
        <v>16.763657394197683</v>
      </c>
      <c r="I225" s="96">
        <f t="shared" si="40"/>
        <v>60</v>
      </c>
      <c r="J225" s="97">
        <f t="shared" si="41"/>
        <v>54.808281344413132</v>
      </c>
    </row>
    <row r="226" spans="1:10" s="89" customFormat="1" ht="15" thickBot="1" x14ac:dyDescent="0.35">
      <c r="A226" s="52">
        <f>COUNT(A216:A225)</f>
        <v>10</v>
      </c>
      <c r="B226" s="31">
        <f t="shared" ref="B226:G226" si="43">SUM(B216:B225)</f>
        <v>4980</v>
      </c>
      <c r="C226" s="32">
        <f t="shared" si="43"/>
        <v>235.12752696753233</v>
      </c>
      <c r="D226" s="56">
        <f t="shared" si="43"/>
        <v>58.155470613943052</v>
      </c>
      <c r="E226" s="56">
        <f t="shared" si="43"/>
        <v>30.282954090504056</v>
      </c>
      <c r="F226" s="56">
        <f t="shared" si="43"/>
        <v>171.41527628209212</v>
      </c>
      <c r="G226" s="100">
        <f t="shared" si="43"/>
        <v>346.94351545216267</v>
      </c>
      <c r="H226" s="93"/>
      <c r="I226" s="91"/>
    </row>
    <row r="227" spans="1:10" s="89" customFormat="1" ht="15" thickBot="1" x14ac:dyDescent="0.35">
      <c r="A227" s="46" t="s">
        <v>96</v>
      </c>
      <c r="B227" s="47">
        <f>((F226*D226)-(G226*E226))/((D226^2)-(G226*A226))</f>
        <v>6.1542766225401584</v>
      </c>
      <c r="C227" s="48" t="s">
        <v>95</v>
      </c>
      <c r="D227" s="49">
        <f>EXP(B227)</f>
        <v>470.7262065439387</v>
      </c>
      <c r="E227" s="50" t="s">
        <v>101</v>
      </c>
      <c r="F227" s="47">
        <f>(E226-(A226*B227))/D226</f>
        <v>-0.53752143701856381</v>
      </c>
      <c r="G227" s="51"/>
      <c r="H227" s="93"/>
      <c r="I227" s="91"/>
    </row>
    <row r="228" spans="1:10" s="89" customFormat="1" x14ac:dyDescent="0.3">
      <c r="A228" s="106"/>
      <c r="B228" s="107"/>
      <c r="C228" s="108"/>
      <c r="D228" s="107"/>
      <c r="E228" s="108"/>
      <c r="F228" s="107"/>
      <c r="G228" s="109"/>
      <c r="H228" s="93"/>
      <c r="I228" s="91"/>
    </row>
    <row r="229" spans="1:10" s="89" customFormat="1" x14ac:dyDescent="0.3">
      <c r="A229" s="106"/>
      <c r="B229" s="107"/>
      <c r="C229" s="108"/>
      <c r="D229" s="107"/>
      <c r="E229" s="108"/>
      <c r="F229" s="107"/>
      <c r="G229" s="109"/>
      <c r="H229" s="93"/>
      <c r="I229" s="91"/>
    </row>
    <row r="230" spans="1:10" s="89" customFormat="1" x14ac:dyDescent="0.3">
      <c r="A230" s="106"/>
      <c r="B230" s="107"/>
      <c r="C230" s="108"/>
      <c r="D230" s="107"/>
      <c r="E230" s="108"/>
      <c r="F230" s="107"/>
      <c r="G230" s="109"/>
      <c r="H230" s="93"/>
      <c r="I230" s="91"/>
    </row>
    <row r="231" spans="1:10" s="89" customFormat="1" x14ac:dyDescent="0.3">
      <c r="A231" s="106"/>
      <c r="B231" s="107"/>
      <c r="C231" s="108"/>
      <c r="D231" s="107"/>
      <c r="E231" s="108"/>
      <c r="F231" s="107"/>
      <c r="G231" s="109"/>
      <c r="H231" s="93"/>
      <c r="I231" s="91"/>
    </row>
    <row r="232" spans="1:10" s="89" customFormat="1" x14ac:dyDescent="0.3">
      <c r="A232" s="106"/>
      <c r="B232" s="107"/>
      <c r="C232" s="108"/>
      <c r="D232" s="107"/>
      <c r="E232" s="108"/>
      <c r="F232" s="107"/>
      <c r="G232" s="109"/>
      <c r="H232" s="93"/>
      <c r="I232" s="91"/>
    </row>
    <row r="233" spans="1:10" s="89" customFormat="1" x14ac:dyDescent="0.3">
      <c r="A233" s="106"/>
      <c r="B233" s="107"/>
      <c r="C233" s="108"/>
      <c r="D233" s="107"/>
      <c r="E233" s="108"/>
      <c r="F233" s="107"/>
      <c r="G233" s="109"/>
      <c r="H233" s="93"/>
      <c r="I233" s="91"/>
    </row>
    <row r="234" spans="1:10" s="89" customFormat="1" x14ac:dyDescent="0.3">
      <c r="A234" s="106"/>
      <c r="B234" s="107"/>
      <c r="C234" s="108"/>
      <c r="D234" s="107"/>
      <c r="E234" s="108"/>
      <c r="F234" s="107"/>
      <c r="G234" s="109"/>
      <c r="H234" s="93"/>
      <c r="I234" s="91"/>
    </row>
    <row r="235" spans="1:10" s="89" customFormat="1" x14ac:dyDescent="0.3">
      <c r="A235" s="106"/>
      <c r="B235" s="107"/>
      <c r="C235" s="108"/>
      <c r="D235" s="107"/>
      <c r="E235" s="108"/>
      <c r="F235" s="107"/>
      <c r="G235" s="109"/>
      <c r="H235" s="93"/>
      <c r="I235" s="91"/>
    </row>
    <row r="236" spans="1:10" s="89" customFormat="1" x14ac:dyDescent="0.3">
      <c r="A236" s="106"/>
      <c r="B236" s="107"/>
      <c r="C236" s="108"/>
      <c r="D236" s="107"/>
      <c r="E236" s="108"/>
      <c r="F236" s="107"/>
      <c r="G236" s="109"/>
      <c r="H236" s="93"/>
      <c r="I236" s="91"/>
    </row>
    <row r="237" spans="1:10" s="89" customFormat="1" x14ac:dyDescent="0.3">
      <c r="A237" s="106"/>
      <c r="B237" s="107"/>
      <c r="C237" s="108"/>
      <c r="D237" s="107"/>
      <c r="E237" s="108"/>
      <c r="F237" s="107"/>
      <c r="G237" s="109"/>
      <c r="H237" s="93"/>
      <c r="I237" s="91"/>
    </row>
    <row r="238" spans="1:10" s="89" customFormat="1" x14ac:dyDescent="0.3">
      <c r="A238" s="106"/>
      <c r="B238" s="107"/>
      <c r="C238" s="108"/>
      <c r="D238" s="107"/>
      <c r="E238" s="108"/>
      <c r="F238" s="107"/>
      <c r="G238" s="109"/>
      <c r="H238" s="93"/>
      <c r="I238" s="91"/>
    </row>
    <row r="239" spans="1:10" s="89" customFormat="1" x14ac:dyDescent="0.3">
      <c r="A239" s="106"/>
      <c r="B239" s="107"/>
      <c r="C239" s="108"/>
      <c r="D239" s="107"/>
      <c r="E239" s="108"/>
      <c r="F239" s="107"/>
      <c r="G239" s="109"/>
      <c r="H239" s="93"/>
      <c r="I239" s="91"/>
    </row>
    <row r="240" spans="1:10" s="89" customFormat="1" x14ac:dyDescent="0.3">
      <c r="A240" s="106"/>
      <c r="B240" s="107"/>
      <c r="C240" s="108"/>
      <c r="D240" s="107"/>
      <c r="E240" s="108"/>
      <c r="F240" s="107"/>
      <c r="G240" s="109"/>
      <c r="H240" s="93"/>
      <c r="I240" s="91"/>
    </row>
    <row r="241" spans="1:9" s="89" customFormat="1" x14ac:dyDescent="0.3">
      <c r="A241" s="106"/>
      <c r="B241" s="107"/>
      <c r="C241" s="108"/>
      <c r="D241" s="107"/>
      <c r="E241" s="108"/>
      <c r="F241" s="107"/>
      <c r="G241" s="109"/>
      <c r="H241" s="93"/>
      <c r="I241" s="91"/>
    </row>
    <row r="242" spans="1:9" s="89" customFormat="1" x14ac:dyDescent="0.3">
      <c r="A242" s="106"/>
      <c r="B242" s="107"/>
      <c r="C242" s="108"/>
      <c r="D242" s="107"/>
      <c r="E242" s="108"/>
      <c r="F242" s="107"/>
      <c r="G242" s="109"/>
      <c r="H242" s="93"/>
      <c r="I242" s="91"/>
    </row>
    <row r="243" spans="1:9" s="89" customFormat="1" x14ac:dyDescent="0.3">
      <c r="A243" s="106"/>
      <c r="B243" s="107"/>
      <c r="C243" s="108"/>
      <c r="D243" s="107"/>
      <c r="E243" s="108"/>
      <c r="F243" s="107"/>
      <c r="G243" s="109"/>
      <c r="H243" s="93"/>
      <c r="I243" s="91"/>
    </row>
    <row r="244" spans="1:9" s="89" customFormat="1" x14ac:dyDescent="0.3">
      <c r="A244" s="106"/>
      <c r="B244" s="107"/>
      <c r="C244" s="108"/>
      <c r="D244" s="107"/>
      <c r="E244" s="108"/>
      <c r="F244" s="107"/>
      <c r="G244" s="109"/>
      <c r="H244" s="93"/>
      <c r="I244" s="91"/>
    </row>
    <row r="245" spans="1:9" s="89" customFormat="1" x14ac:dyDescent="0.3"/>
    <row r="246" spans="1:9" s="89" customFormat="1" x14ac:dyDescent="0.3">
      <c r="A246" s="286" t="s">
        <v>97</v>
      </c>
      <c r="B246" s="286"/>
      <c r="C246" s="286"/>
      <c r="D246" s="286"/>
      <c r="E246" s="286"/>
      <c r="F246" s="286"/>
      <c r="G246" s="286"/>
      <c r="H246" s="93"/>
      <c r="I246" s="91"/>
    </row>
    <row r="247" spans="1:9" s="89" customFormat="1" x14ac:dyDescent="0.3">
      <c r="H247" s="93"/>
      <c r="I247" s="91"/>
    </row>
    <row r="248" spans="1:9" s="89" customFormat="1" x14ac:dyDescent="0.3">
      <c r="A248" s="91"/>
      <c r="B248" s="90"/>
      <c r="C248" s="90"/>
      <c r="D248" s="90"/>
      <c r="E248" s="90"/>
      <c r="F248" s="90"/>
      <c r="G248" s="90"/>
      <c r="H248" s="93"/>
      <c r="I248" s="91"/>
    </row>
    <row r="249" spans="1:9" s="89" customFormat="1" x14ac:dyDescent="0.3">
      <c r="A249" s="91"/>
      <c r="B249" s="90"/>
      <c r="C249" s="90"/>
      <c r="D249" s="90"/>
      <c r="E249" s="90"/>
      <c r="F249" s="90"/>
      <c r="G249" s="90"/>
      <c r="H249" s="93"/>
      <c r="I249" s="91"/>
    </row>
    <row r="250" spans="1:9" s="89" customFormat="1" x14ac:dyDescent="0.3">
      <c r="A250" s="90" t="s">
        <v>87</v>
      </c>
      <c r="B250" s="90"/>
      <c r="C250" s="90"/>
      <c r="D250" s="90"/>
      <c r="E250" s="90"/>
      <c r="F250" s="90"/>
      <c r="G250" s="90"/>
      <c r="H250" s="93"/>
      <c r="I250" s="91"/>
    </row>
    <row r="251" spans="1:9" s="89" customFormat="1" x14ac:dyDescent="0.3">
      <c r="A251" s="90"/>
      <c r="B251" s="90" t="s">
        <v>74</v>
      </c>
      <c r="C251" s="90" t="s">
        <v>73</v>
      </c>
      <c r="D251" s="90"/>
      <c r="E251" s="90"/>
      <c r="F251" s="90"/>
      <c r="G251" s="90"/>
      <c r="H251" s="93"/>
      <c r="I251" s="91"/>
    </row>
    <row r="252" spans="1:9" s="89" customFormat="1" x14ac:dyDescent="0.3">
      <c r="A252" s="90"/>
      <c r="B252" s="90" t="s">
        <v>72</v>
      </c>
      <c r="C252" s="90" t="s">
        <v>71</v>
      </c>
      <c r="D252" s="90"/>
      <c r="E252" s="90"/>
      <c r="F252" s="90"/>
      <c r="G252" s="90"/>
      <c r="H252" s="93"/>
      <c r="I252" s="91"/>
    </row>
    <row r="253" spans="1:9" s="89" customFormat="1" x14ac:dyDescent="0.3">
      <c r="A253" s="90"/>
      <c r="B253" s="90" t="s">
        <v>70</v>
      </c>
      <c r="C253" s="90" t="s">
        <v>69</v>
      </c>
      <c r="D253" s="90"/>
      <c r="E253" s="90"/>
      <c r="F253" s="90"/>
      <c r="G253" s="90"/>
      <c r="H253" s="93"/>
      <c r="I253" s="91"/>
    </row>
    <row r="254" spans="1:9" s="89" customFormat="1" x14ac:dyDescent="0.3">
      <c r="A254" s="90"/>
      <c r="B254" s="90" t="s">
        <v>100</v>
      </c>
      <c r="C254" s="90" t="s">
        <v>68</v>
      </c>
      <c r="D254" s="90"/>
      <c r="E254" s="90"/>
      <c r="F254" s="90"/>
      <c r="G254" s="90"/>
      <c r="H254" s="93"/>
      <c r="I254" s="91"/>
    </row>
    <row r="255" spans="1:9" s="89" customFormat="1" x14ac:dyDescent="0.3">
      <c r="E255" s="90"/>
      <c r="F255" s="90"/>
      <c r="G255" s="90"/>
      <c r="H255" s="93"/>
      <c r="I255" s="91"/>
    </row>
    <row r="256" spans="1:9" s="89" customFormat="1" x14ac:dyDescent="0.3">
      <c r="A256" s="92" t="s">
        <v>67</v>
      </c>
      <c r="B256" s="90"/>
      <c r="C256" s="90"/>
      <c r="D256" s="90"/>
      <c r="E256" s="90"/>
      <c r="F256" s="90"/>
      <c r="G256" s="90"/>
      <c r="H256" s="93"/>
      <c r="I256" s="91"/>
    </row>
    <row r="257" spans="1:10" s="89" customFormat="1" x14ac:dyDescent="0.3">
      <c r="E257" s="90"/>
      <c r="F257" s="90"/>
      <c r="G257" s="90"/>
      <c r="H257" s="93"/>
      <c r="I257" s="91"/>
    </row>
    <row r="258" spans="1:10" s="89" customFormat="1" x14ac:dyDescent="0.3">
      <c r="B258" s="90"/>
      <c r="C258" s="90"/>
      <c r="D258" s="90"/>
      <c r="E258" s="90"/>
      <c r="F258" s="90"/>
      <c r="G258" s="90"/>
      <c r="H258" s="93"/>
      <c r="I258" s="91"/>
    </row>
    <row r="259" spans="1:10" s="89" customFormat="1" x14ac:dyDescent="0.3">
      <c r="A259" s="92" t="s">
        <v>98</v>
      </c>
      <c r="B259" s="90"/>
      <c r="C259" s="90"/>
      <c r="D259" s="90"/>
      <c r="E259" s="90"/>
      <c r="F259" s="90"/>
      <c r="G259" s="90"/>
      <c r="H259" s="93"/>
      <c r="I259" s="91"/>
    </row>
    <row r="260" spans="1:10" s="89" customFormat="1" x14ac:dyDescent="0.3">
      <c r="A260" s="90"/>
      <c r="B260" s="90"/>
      <c r="C260" s="90"/>
      <c r="D260" s="90"/>
      <c r="E260" s="90"/>
      <c r="F260" s="90"/>
      <c r="G260" s="90"/>
      <c r="H260" s="93"/>
      <c r="I260" s="91"/>
    </row>
    <row r="261" spans="1:10" s="89" customFormat="1" x14ac:dyDescent="0.3">
      <c r="A261" s="102"/>
      <c r="B261" s="103"/>
      <c r="C261" s="104"/>
      <c r="D261" s="103"/>
      <c r="E261" s="104"/>
      <c r="F261" s="103"/>
      <c r="G261" s="92"/>
      <c r="H261" s="93"/>
      <c r="I261" s="91"/>
    </row>
    <row r="262" spans="1:10" s="89" customFormat="1" ht="15" thickBot="1" x14ac:dyDescent="0.35">
      <c r="A262" s="102"/>
      <c r="B262" s="103"/>
      <c r="C262" s="104"/>
      <c r="D262" s="103"/>
      <c r="E262" s="104"/>
      <c r="F262" s="103"/>
      <c r="G262" s="92"/>
      <c r="H262" s="93"/>
      <c r="I262" s="91"/>
    </row>
    <row r="263" spans="1:10" s="89" customFormat="1" ht="16.2" thickBot="1" x14ac:dyDescent="0.35">
      <c r="A263" s="283" t="s">
        <v>57</v>
      </c>
      <c r="B263" s="284"/>
      <c r="C263" s="284"/>
      <c r="D263" s="284"/>
      <c r="E263" s="284"/>
      <c r="F263" s="284"/>
      <c r="G263" s="285"/>
      <c r="I263" s="280" t="s">
        <v>56</v>
      </c>
      <c r="J263" s="280"/>
    </row>
    <row r="264" spans="1:10" s="89" customFormat="1" ht="15" thickBot="1" x14ac:dyDescent="0.35">
      <c r="A264" s="41" t="s">
        <v>37</v>
      </c>
      <c r="B264" s="42" t="s">
        <v>49</v>
      </c>
      <c r="C264" s="42" t="s">
        <v>48</v>
      </c>
      <c r="D264" s="42" t="s">
        <v>53</v>
      </c>
      <c r="E264" s="42" t="s">
        <v>52</v>
      </c>
      <c r="F264" s="42" t="s">
        <v>51</v>
      </c>
      <c r="G264" s="43" t="s">
        <v>50</v>
      </c>
      <c r="I264" s="98" t="s">
        <v>49</v>
      </c>
      <c r="J264" s="98" t="s">
        <v>48</v>
      </c>
    </row>
    <row r="265" spans="1:10" s="89" customFormat="1" x14ac:dyDescent="0.3">
      <c r="A265" s="44">
        <v>1</v>
      </c>
      <c r="B265" s="30">
        <f t="shared" ref="B265:B274" si="44">B216</f>
        <v>1440</v>
      </c>
      <c r="C265" s="36">
        <f>'Intensidad de precipitacion'!H8</f>
        <v>10.394295604621304</v>
      </c>
      <c r="D265" s="12">
        <f t="shared" ref="D265:D274" si="45">IF(A265="","",LN(B265))</f>
        <v>7.2723983925700466</v>
      </c>
      <c r="E265" s="12">
        <f t="shared" ref="E265:E274" si="46">IF(B265="","",LN(C265))</f>
        <v>2.3412571561107733</v>
      </c>
      <c r="F265" s="12">
        <f t="shared" ref="F265:F274" si="47">IF(A265="","",D265*E265)</f>
        <v>17.026554778693107</v>
      </c>
      <c r="G265" s="33">
        <f t="shared" ref="G265:G274" si="48">IF(B265="","",D265^2)</f>
        <v>52.887778380255398</v>
      </c>
      <c r="I265" s="96">
        <f t="shared" ref="I265:I274" si="49">B265</f>
        <v>1440</v>
      </c>
      <c r="J265" s="97">
        <f t="shared" ref="J265:J274" si="50">C265</f>
        <v>10.394295604621304</v>
      </c>
    </row>
    <row r="266" spans="1:10" s="89" customFormat="1" x14ac:dyDescent="0.3">
      <c r="A266" s="45">
        <f t="shared" ref="A266:A274" si="51">A265+1</f>
        <v>2</v>
      </c>
      <c r="B266" s="37">
        <f t="shared" si="44"/>
        <v>1080</v>
      </c>
      <c r="C266" s="38">
        <f>'Intensidad de precipitacion'!H9</f>
        <v>12.473154725545564</v>
      </c>
      <c r="D266" s="13">
        <f t="shared" si="45"/>
        <v>6.9847163201182658</v>
      </c>
      <c r="E266" s="13">
        <f t="shared" si="46"/>
        <v>2.5235787129047282</v>
      </c>
      <c r="F266" s="13">
        <f t="shared" si="47"/>
        <v>17.626481421128702</v>
      </c>
      <c r="G266" s="34">
        <f t="shared" si="48"/>
        <v>48.786262072526448</v>
      </c>
      <c r="I266" s="96">
        <f t="shared" si="49"/>
        <v>1080</v>
      </c>
      <c r="J266" s="97">
        <f t="shared" si="50"/>
        <v>12.473154725545564</v>
      </c>
    </row>
    <row r="267" spans="1:10" s="89" customFormat="1" x14ac:dyDescent="0.3">
      <c r="A267" s="45">
        <f t="shared" si="51"/>
        <v>3</v>
      </c>
      <c r="B267" s="37">
        <f t="shared" si="44"/>
        <v>720</v>
      </c>
      <c r="C267" s="38">
        <f>'Intensidad de precipitacion'!H10</f>
        <v>16.422987055301661</v>
      </c>
      <c r="D267" s="13">
        <f t="shared" si="45"/>
        <v>6.5792512120101012</v>
      </c>
      <c r="E267" s="13">
        <f t="shared" si="46"/>
        <v>2.7986820031496489</v>
      </c>
      <c r="F267" s="13">
        <f t="shared" si="47"/>
        <v>18.413231961253185</v>
      </c>
      <c r="G267" s="34">
        <f t="shared" si="48"/>
        <v>43.286546510736386</v>
      </c>
      <c r="I267" s="96">
        <f t="shared" si="49"/>
        <v>720</v>
      </c>
      <c r="J267" s="97">
        <f t="shared" si="50"/>
        <v>16.422987055301661</v>
      </c>
    </row>
    <row r="268" spans="1:10" s="89" customFormat="1" x14ac:dyDescent="0.3">
      <c r="A268" s="45">
        <f t="shared" si="51"/>
        <v>4</v>
      </c>
      <c r="B268" s="37">
        <f t="shared" si="44"/>
        <v>480</v>
      </c>
      <c r="C268" s="38">
        <f>'Intensidad de precipitacion'!H11</f>
        <v>19.957047560872905</v>
      </c>
      <c r="D268" s="13">
        <f t="shared" si="45"/>
        <v>6.1737861039019366</v>
      </c>
      <c r="E268" s="13">
        <f t="shared" si="46"/>
        <v>2.9935823421504639</v>
      </c>
      <c r="F268" s="13">
        <f t="shared" si="47"/>
        <v>18.481737064854748</v>
      </c>
      <c r="G268" s="34">
        <f t="shared" si="48"/>
        <v>38.115634856732655</v>
      </c>
      <c r="I268" s="96">
        <f t="shared" si="49"/>
        <v>480</v>
      </c>
      <c r="J268" s="97">
        <f t="shared" si="50"/>
        <v>19.957047560872905</v>
      </c>
    </row>
    <row r="269" spans="1:10" s="89" customFormat="1" x14ac:dyDescent="0.3">
      <c r="A269" s="45">
        <f t="shared" si="51"/>
        <v>5</v>
      </c>
      <c r="B269" s="37">
        <f t="shared" si="44"/>
        <v>360</v>
      </c>
      <c r="C269" s="38">
        <f>'Intensidad de precipitacion'!H12</f>
        <v>23.283222154351723</v>
      </c>
      <c r="D269" s="13">
        <f t="shared" si="45"/>
        <v>5.8861040314501558</v>
      </c>
      <c r="E269" s="13">
        <f t="shared" si="46"/>
        <v>3.147733021977722</v>
      </c>
      <c r="F269" s="13">
        <f t="shared" si="47"/>
        <v>18.527884030591853</v>
      </c>
      <c r="G269" s="34">
        <f t="shared" si="48"/>
        <v>34.646220669053776</v>
      </c>
      <c r="I269" s="96">
        <f t="shared" si="49"/>
        <v>360</v>
      </c>
      <c r="J269" s="97">
        <f t="shared" si="50"/>
        <v>23.283222154351723</v>
      </c>
    </row>
    <row r="270" spans="1:10" s="89" customFormat="1" x14ac:dyDescent="0.3">
      <c r="A270" s="45">
        <f t="shared" si="51"/>
        <v>6</v>
      </c>
      <c r="B270" s="37">
        <f t="shared" si="44"/>
        <v>300</v>
      </c>
      <c r="C270" s="38">
        <f>'Intensidad de precipitacion'!H13</f>
        <v>24.946309451091132</v>
      </c>
      <c r="D270" s="13">
        <f t="shared" si="45"/>
        <v>5.7037824746562009</v>
      </c>
      <c r="E270" s="13">
        <f t="shared" si="46"/>
        <v>3.2167258934646736</v>
      </c>
      <c r="F270" s="13">
        <f t="shared" si="47"/>
        <v>18.347504776916615</v>
      </c>
      <c r="G270" s="34">
        <f t="shared" si="48"/>
        <v>32.533134518195219</v>
      </c>
      <c r="I270" s="96">
        <f t="shared" si="49"/>
        <v>300</v>
      </c>
      <c r="J270" s="97">
        <f t="shared" si="50"/>
        <v>24.946309451091132</v>
      </c>
    </row>
    <row r="271" spans="1:10" s="89" customFormat="1" x14ac:dyDescent="0.3">
      <c r="A271" s="45">
        <f t="shared" si="51"/>
        <v>7</v>
      </c>
      <c r="B271" s="37">
        <f t="shared" si="44"/>
        <v>240</v>
      </c>
      <c r="C271" s="38">
        <f>'Intensidad de precipitacion'!H14</f>
        <v>27.440940396200244</v>
      </c>
      <c r="D271" s="13">
        <f t="shared" si="45"/>
        <v>5.4806389233419912</v>
      </c>
      <c r="E271" s="13">
        <f t="shared" si="46"/>
        <v>3.3120360732689984</v>
      </c>
      <c r="F271" s="13">
        <f t="shared" si="47"/>
        <v>18.152073818670839</v>
      </c>
      <c r="G271" s="34">
        <f t="shared" si="48"/>
        <v>30.03740300805126</v>
      </c>
      <c r="I271" s="96">
        <f t="shared" si="49"/>
        <v>240</v>
      </c>
      <c r="J271" s="97">
        <f t="shared" si="50"/>
        <v>27.440940396200244</v>
      </c>
    </row>
    <row r="272" spans="1:10" s="89" customFormat="1" x14ac:dyDescent="0.3">
      <c r="A272" s="45">
        <f t="shared" si="51"/>
        <v>8</v>
      </c>
      <c r="B272" s="37">
        <f t="shared" si="44"/>
        <v>180</v>
      </c>
      <c r="C272" s="38">
        <f>'Intensidad de precipitacion'!H15</f>
        <v>31.598658638048764</v>
      </c>
      <c r="D272" s="13">
        <f t="shared" si="45"/>
        <v>5.1929568508902104</v>
      </c>
      <c r="E272" s="13">
        <f t="shared" si="46"/>
        <v>3.4531146715289038</v>
      </c>
      <c r="F272" s="13">
        <f t="shared" si="47"/>
        <v>17.931875490425519</v>
      </c>
      <c r="G272" s="34">
        <f t="shared" si="48"/>
        <v>26.96680085520757</v>
      </c>
      <c r="I272" s="96">
        <f t="shared" si="49"/>
        <v>180</v>
      </c>
      <c r="J272" s="97">
        <f t="shared" si="50"/>
        <v>31.598658638048764</v>
      </c>
    </row>
    <row r="273" spans="1:10" s="89" customFormat="1" x14ac:dyDescent="0.3">
      <c r="A273" s="45">
        <f t="shared" si="51"/>
        <v>9</v>
      </c>
      <c r="B273" s="37">
        <f t="shared" si="44"/>
        <v>120</v>
      </c>
      <c r="C273" s="38">
        <f>'Intensidad de precipitacion'!H16</f>
        <v>38.666779649191255</v>
      </c>
      <c r="D273" s="13">
        <f t="shared" si="45"/>
        <v>4.7874917427820458</v>
      </c>
      <c r="E273" s="13">
        <f t="shared" si="46"/>
        <v>3.6549808243958291</v>
      </c>
      <c r="F273" s="13">
        <f t="shared" si="47"/>
        <v>17.498190516821747</v>
      </c>
      <c r="G273" s="34">
        <f t="shared" si="48"/>
        <v>22.920077187206271</v>
      </c>
      <c r="I273" s="96">
        <f t="shared" si="49"/>
        <v>120</v>
      </c>
      <c r="J273" s="97">
        <f t="shared" si="50"/>
        <v>38.666779649191255</v>
      </c>
    </row>
    <row r="274" spans="1:10" s="89" customFormat="1" ht="15" thickBot="1" x14ac:dyDescent="0.35">
      <c r="A274" s="18">
        <f t="shared" si="51"/>
        <v>10</v>
      </c>
      <c r="B274" s="39">
        <f t="shared" si="44"/>
        <v>60</v>
      </c>
      <c r="C274" s="40">
        <f>'Intensidad de precipitacion'!H17</f>
        <v>62.365773627727826</v>
      </c>
      <c r="D274" s="14">
        <f t="shared" si="45"/>
        <v>4.0943445622221004</v>
      </c>
      <c r="E274" s="14">
        <f t="shared" si="46"/>
        <v>4.1330166253388283</v>
      </c>
      <c r="F274" s="14">
        <f t="shared" si="47"/>
        <v>16.921994145529567</v>
      </c>
      <c r="G274" s="35">
        <f t="shared" si="48"/>
        <v>16.763657394197683</v>
      </c>
      <c r="I274" s="96">
        <f t="shared" si="49"/>
        <v>60</v>
      </c>
      <c r="J274" s="97">
        <f t="shared" si="50"/>
        <v>62.365773627727826</v>
      </c>
    </row>
    <row r="275" spans="1:10" s="89" customFormat="1" ht="15" thickBot="1" x14ac:dyDescent="0.35">
      <c r="A275" s="52">
        <f>COUNT(A265:A274)</f>
        <v>10</v>
      </c>
      <c r="B275" s="31">
        <f t="shared" ref="B275:G275" si="52">SUM(B265:B274)</f>
        <v>4980</v>
      </c>
      <c r="C275" s="32">
        <f t="shared" si="52"/>
        <v>267.54916886295234</v>
      </c>
      <c r="D275" s="56">
        <f t="shared" si="52"/>
        <v>58.155470613943052</v>
      </c>
      <c r="E275" s="56">
        <f t="shared" si="52"/>
        <v>31.574707324290571</v>
      </c>
      <c r="F275" s="56">
        <f t="shared" si="52"/>
        <v>178.92752800488591</v>
      </c>
      <c r="G275" s="100">
        <f t="shared" si="52"/>
        <v>346.94351545216267</v>
      </c>
      <c r="H275" s="93"/>
      <c r="I275" s="91"/>
    </row>
    <row r="276" spans="1:10" s="89" customFormat="1" ht="15" thickBot="1" x14ac:dyDescent="0.35">
      <c r="A276" s="46" t="s">
        <v>96</v>
      </c>
      <c r="B276" s="47">
        <f>((F275*D275)-(G275*E275))/((D275^2)-(G275*A275))</f>
        <v>6.2834519459187694</v>
      </c>
      <c r="C276" s="48" t="s">
        <v>95</v>
      </c>
      <c r="D276" s="49">
        <f>EXP(B276)</f>
        <v>535.63445738204439</v>
      </c>
      <c r="E276" s="50" t="s">
        <v>101</v>
      </c>
      <c r="F276" s="47">
        <f>(E275-(A275*B276))/D275</f>
        <v>-0.53752143701855681</v>
      </c>
      <c r="G276" s="51"/>
      <c r="H276" s="93"/>
      <c r="I276" s="91"/>
    </row>
    <row r="277" spans="1:10" s="89" customFormat="1" x14ac:dyDescent="0.3">
      <c r="A277" s="106"/>
      <c r="B277" s="107"/>
      <c r="C277" s="108"/>
      <c r="D277" s="107"/>
      <c r="E277" s="108"/>
      <c r="F277" s="107"/>
      <c r="G277" s="109"/>
      <c r="H277" s="93"/>
      <c r="I277" s="91"/>
    </row>
    <row r="278" spans="1:10" s="89" customFormat="1" x14ac:dyDescent="0.3">
      <c r="A278" s="106"/>
      <c r="B278" s="107"/>
      <c r="C278" s="108"/>
      <c r="D278" s="107"/>
      <c r="E278" s="108"/>
      <c r="F278" s="107"/>
      <c r="G278" s="109"/>
      <c r="H278" s="93"/>
      <c r="I278" s="91"/>
    </row>
    <row r="279" spans="1:10" s="89" customFormat="1" x14ac:dyDescent="0.3">
      <c r="A279" s="106"/>
      <c r="B279" s="107"/>
      <c r="C279" s="108"/>
      <c r="D279" s="107"/>
      <c r="E279" s="108"/>
      <c r="F279" s="107"/>
      <c r="G279" s="109"/>
      <c r="H279" s="93"/>
      <c r="I279" s="91"/>
    </row>
    <row r="280" spans="1:10" s="89" customFormat="1" x14ac:dyDescent="0.3">
      <c r="A280" s="106"/>
      <c r="B280" s="107"/>
      <c r="C280" s="108"/>
      <c r="D280" s="107"/>
      <c r="E280" s="108"/>
      <c r="F280" s="107"/>
      <c r="G280" s="109"/>
      <c r="H280" s="93"/>
      <c r="I280" s="91"/>
    </row>
    <row r="281" spans="1:10" s="89" customFormat="1" x14ac:dyDescent="0.3">
      <c r="A281" s="106"/>
      <c r="B281" s="107"/>
      <c r="C281" s="108"/>
      <c r="D281" s="107"/>
      <c r="E281" s="108"/>
      <c r="F281" s="107"/>
      <c r="G281" s="109"/>
      <c r="H281" s="93"/>
      <c r="I281" s="91"/>
    </row>
    <row r="282" spans="1:10" s="89" customFormat="1" x14ac:dyDescent="0.3">
      <c r="A282" s="106"/>
      <c r="B282" s="107"/>
      <c r="C282" s="108"/>
      <c r="D282" s="107"/>
      <c r="E282" s="108"/>
      <c r="F282" s="107"/>
      <c r="G282" s="109"/>
      <c r="H282" s="93"/>
      <c r="I282" s="91"/>
    </row>
    <row r="283" spans="1:10" s="89" customFormat="1" x14ac:dyDescent="0.3">
      <c r="A283" s="106"/>
      <c r="B283" s="107"/>
      <c r="C283" s="108"/>
      <c r="D283" s="107"/>
      <c r="E283" s="108"/>
      <c r="F283" s="107"/>
      <c r="G283" s="109"/>
      <c r="H283" s="93"/>
      <c r="I283" s="91"/>
    </row>
    <row r="284" spans="1:10" s="89" customFormat="1" x14ac:dyDescent="0.3">
      <c r="A284" s="106"/>
      <c r="B284" s="107"/>
      <c r="C284" s="108"/>
      <c r="D284" s="107"/>
      <c r="E284" s="108"/>
      <c r="F284" s="107"/>
      <c r="G284" s="109"/>
      <c r="H284" s="93"/>
      <c r="I284" s="91"/>
    </row>
    <row r="285" spans="1:10" s="89" customFormat="1" x14ac:dyDescent="0.3">
      <c r="A285" s="106"/>
      <c r="B285" s="107"/>
      <c r="C285" s="108"/>
      <c r="D285" s="107"/>
      <c r="E285" s="108"/>
      <c r="F285" s="107"/>
      <c r="G285" s="109"/>
      <c r="H285" s="93"/>
      <c r="I285" s="91"/>
    </row>
    <row r="286" spans="1:10" s="89" customFormat="1" x14ac:dyDescent="0.3">
      <c r="A286" s="106"/>
      <c r="B286" s="107"/>
      <c r="C286" s="108"/>
      <c r="D286" s="107"/>
      <c r="E286" s="108"/>
      <c r="F286" s="107"/>
      <c r="G286" s="109"/>
      <c r="H286" s="93"/>
      <c r="I286" s="91"/>
    </row>
    <row r="287" spans="1:10" s="89" customFormat="1" x14ac:dyDescent="0.3">
      <c r="A287" s="106"/>
      <c r="B287" s="107"/>
      <c r="C287" s="108"/>
      <c r="D287" s="107"/>
      <c r="E287" s="108"/>
      <c r="F287" s="107"/>
      <c r="G287" s="109"/>
      <c r="H287" s="93"/>
      <c r="I287" s="91"/>
    </row>
    <row r="288" spans="1:10" s="89" customFormat="1" x14ac:dyDescent="0.3">
      <c r="A288" s="106"/>
      <c r="B288" s="107"/>
      <c r="C288" s="108"/>
      <c r="D288" s="107"/>
      <c r="E288" s="108"/>
      <c r="F288" s="107"/>
      <c r="G288" s="109"/>
      <c r="H288" s="93"/>
      <c r="I288" s="91"/>
    </row>
    <row r="289" spans="1:9" s="89" customFormat="1" x14ac:dyDescent="0.3">
      <c r="A289" s="106"/>
      <c r="B289" s="107"/>
      <c r="C289" s="108"/>
      <c r="D289" s="107"/>
      <c r="E289" s="108"/>
      <c r="F289" s="107"/>
      <c r="G289" s="109"/>
      <c r="H289" s="93"/>
      <c r="I289" s="91"/>
    </row>
    <row r="290" spans="1:9" s="89" customFormat="1" x14ac:dyDescent="0.3">
      <c r="A290" s="106"/>
      <c r="B290" s="107"/>
      <c r="C290" s="108"/>
      <c r="D290" s="107"/>
      <c r="E290" s="108"/>
      <c r="F290" s="107"/>
      <c r="G290" s="109"/>
      <c r="H290" s="93"/>
      <c r="I290" s="91"/>
    </row>
    <row r="291" spans="1:9" s="89" customFormat="1" x14ac:dyDescent="0.3">
      <c r="A291" s="106"/>
      <c r="B291" s="107"/>
      <c r="C291" s="108"/>
      <c r="D291" s="107"/>
      <c r="E291" s="108"/>
      <c r="F291" s="107"/>
      <c r="G291" s="109"/>
      <c r="H291" s="93"/>
      <c r="I291" s="91"/>
    </row>
    <row r="292" spans="1:9" s="89" customFormat="1" x14ac:dyDescent="0.3">
      <c r="A292" s="106"/>
      <c r="B292" s="107"/>
      <c r="C292" s="108"/>
      <c r="D292" s="107"/>
      <c r="E292" s="108"/>
      <c r="F292" s="107"/>
      <c r="G292" s="109"/>
      <c r="H292" s="93"/>
      <c r="I292" s="91"/>
    </row>
    <row r="293" spans="1:9" s="89" customFormat="1" x14ac:dyDescent="0.3">
      <c r="A293" s="106"/>
      <c r="B293" s="107"/>
      <c r="C293" s="108"/>
      <c r="D293" s="107"/>
      <c r="E293" s="108"/>
      <c r="F293" s="107"/>
      <c r="G293" s="109"/>
      <c r="H293" s="93"/>
      <c r="I293" s="91"/>
    </row>
    <row r="294" spans="1:9" s="89" customFormat="1" x14ac:dyDescent="0.3">
      <c r="A294" s="102"/>
      <c r="B294" s="103"/>
      <c r="C294" s="104"/>
      <c r="D294" s="105"/>
      <c r="E294" s="104"/>
      <c r="F294" s="103"/>
      <c r="G294" s="92"/>
      <c r="H294" s="93"/>
      <c r="I294" s="91"/>
    </row>
    <row r="295" spans="1:9" s="89" customFormat="1" x14ac:dyDescent="0.3">
      <c r="A295" s="286" t="s">
        <v>97</v>
      </c>
      <c r="B295" s="286"/>
      <c r="C295" s="286"/>
      <c r="D295" s="286"/>
      <c r="E295" s="286"/>
      <c r="F295" s="286"/>
      <c r="G295" s="286"/>
      <c r="H295" s="93"/>
      <c r="I295" s="91"/>
    </row>
    <row r="296" spans="1:9" s="89" customFormat="1" x14ac:dyDescent="0.3">
      <c r="H296" s="93"/>
      <c r="I296" s="91"/>
    </row>
    <row r="297" spans="1:9" s="89" customFormat="1" x14ac:dyDescent="0.3">
      <c r="A297" s="91"/>
      <c r="B297" s="90"/>
      <c r="C297" s="90"/>
      <c r="D297" s="90"/>
      <c r="E297" s="90"/>
      <c r="F297" s="90"/>
      <c r="G297" s="90"/>
      <c r="H297" s="93"/>
      <c r="I297" s="91"/>
    </row>
    <row r="298" spans="1:9" s="89" customFormat="1" x14ac:dyDescent="0.3">
      <c r="A298" s="91"/>
      <c r="B298" s="90"/>
      <c r="C298" s="90"/>
      <c r="D298" s="90"/>
      <c r="E298" s="90"/>
      <c r="F298" s="90"/>
      <c r="G298" s="90"/>
      <c r="H298" s="93"/>
      <c r="I298" s="91"/>
    </row>
    <row r="299" spans="1:9" s="89" customFormat="1" x14ac:dyDescent="0.3">
      <c r="A299" s="90" t="s">
        <v>87</v>
      </c>
      <c r="B299" s="90"/>
      <c r="C299" s="90"/>
      <c r="D299" s="90"/>
      <c r="E299" s="90"/>
      <c r="F299" s="90"/>
      <c r="G299" s="90"/>
      <c r="H299" s="93"/>
      <c r="I299" s="91"/>
    </row>
    <row r="300" spans="1:9" s="89" customFormat="1" x14ac:dyDescent="0.3">
      <c r="A300" s="90"/>
      <c r="B300" s="90" t="s">
        <v>74</v>
      </c>
      <c r="C300" s="90" t="s">
        <v>73</v>
      </c>
      <c r="D300" s="90"/>
      <c r="E300" s="90"/>
      <c r="F300" s="90"/>
      <c r="G300" s="90"/>
      <c r="H300" s="93"/>
      <c r="I300" s="91"/>
    </row>
    <row r="301" spans="1:9" s="89" customFormat="1" x14ac:dyDescent="0.3">
      <c r="A301" s="90"/>
      <c r="B301" s="90" t="s">
        <v>72</v>
      </c>
      <c r="C301" s="90" t="s">
        <v>71</v>
      </c>
      <c r="D301" s="90"/>
      <c r="E301" s="90"/>
      <c r="F301" s="90"/>
      <c r="G301" s="90"/>
      <c r="H301" s="93"/>
      <c r="I301" s="91"/>
    </row>
    <row r="302" spans="1:9" s="89" customFormat="1" x14ac:dyDescent="0.3">
      <c r="A302" s="90"/>
      <c r="B302" s="90" t="s">
        <v>70</v>
      </c>
      <c r="C302" s="90" t="s">
        <v>69</v>
      </c>
      <c r="D302" s="90"/>
      <c r="E302" s="90"/>
      <c r="F302" s="90"/>
      <c r="G302" s="90"/>
      <c r="H302" s="93"/>
      <c r="I302" s="91"/>
    </row>
    <row r="303" spans="1:9" s="89" customFormat="1" x14ac:dyDescent="0.3">
      <c r="A303" s="90"/>
      <c r="B303" s="90" t="s">
        <v>100</v>
      </c>
      <c r="C303" s="90" t="s">
        <v>68</v>
      </c>
      <c r="D303" s="90"/>
      <c r="E303" s="90"/>
      <c r="F303" s="90"/>
      <c r="G303" s="90"/>
      <c r="H303" s="93"/>
      <c r="I303" s="91"/>
    </row>
    <row r="304" spans="1:9" s="89" customFormat="1" x14ac:dyDescent="0.3">
      <c r="E304" s="90"/>
      <c r="F304" s="90"/>
      <c r="G304" s="90"/>
      <c r="H304" s="93"/>
      <c r="I304" s="91"/>
    </row>
    <row r="305" spans="1:10" s="89" customFormat="1" x14ac:dyDescent="0.3">
      <c r="A305" s="92" t="s">
        <v>67</v>
      </c>
      <c r="B305" s="90"/>
      <c r="C305" s="90"/>
      <c r="D305" s="90"/>
      <c r="E305" s="90"/>
      <c r="F305" s="90"/>
      <c r="G305" s="90"/>
      <c r="H305" s="93"/>
      <c r="I305" s="91"/>
    </row>
    <row r="306" spans="1:10" s="89" customFormat="1" x14ac:dyDescent="0.3">
      <c r="E306" s="90"/>
      <c r="F306" s="90"/>
      <c r="G306" s="90"/>
      <c r="H306" s="93"/>
      <c r="I306" s="91"/>
    </row>
    <row r="307" spans="1:10" s="89" customFormat="1" x14ac:dyDescent="0.3">
      <c r="B307" s="90"/>
      <c r="C307" s="90"/>
      <c r="D307" s="90"/>
      <c r="E307" s="90"/>
      <c r="F307" s="90"/>
      <c r="G307" s="90"/>
      <c r="H307" s="93"/>
      <c r="I307" s="91"/>
    </row>
    <row r="308" spans="1:10" s="89" customFormat="1" x14ac:dyDescent="0.3">
      <c r="A308" s="92" t="s">
        <v>98</v>
      </c>
      <c r="B308" s="90"/>
      <c r="C308" s="90"/>
      <c r="D308" s="90"/>
      <c r="E308" s="90"/>
      <c r="F308" s="90"/>
      <c r="G308" s="90"/>
      <c r="H308" s="93"/>
      <c r="I308" s="91"/>
    </row>
    <row r="309" spans="1:10" s="89" customFormat="1" x14ac:dyDescent="0.3">
      <c r="A309" s="90"/>
      <c r="B309" s="90"/>
      <c r="C309" s="90"/>
      <c r="D309" s="90"/>
      <c r="E309" s="90"/>
      <c r="F309" s="90"/>
      <c r="G309" s="90"/>
      <c r="H309" s="93"/>
      <c r="I309" s="91"/>
    </row>
    <row r="310" spans="1:10" s="89" customFormat="1" x14ac:dyDescent="0.3">
      <c r="A310" s="102"/>
      <c r="B310" s="103"/>
      <c r="C310" s="104"/>
      <c r="D310" s="103"/>
      <c r="E310" s="104"/>
      <c r="F310" s="103"/>
      <c r="G310" s="92"/>
      <c r="H310" s="93"/>
      <c r="I310" s="91"/>
    </row>
    <row r="311" spans="1:10" s="89" customFormat="1" ht="15" thickBot="1" x14ac:dyDescent="0.35">
      <c r="A311" s="102"/>
      <c r="B311" s="103"/>
      <c r="C311" s="104"/>
      <c r="D311" s="103"/>
      <c r="E311" s="104"/>
      <c r="F311" s="103"/>
      <c r="G311" s="92"/>
      <c r="H311" s="93"/>
      <c r="I311" s="91"/>
    </row>
    <row r="312" spans="1:10" s="89" customFormat="1" ht="16.2" thickBot="1" x14ac:dyDescent="0.35">
      <c r="A312" s="283" t="s">
        <v>55</v>
      </c>
      <c r="B312" s="284"/>
      <c r="C312" s="284"/>
      <c r="D312" s="284"/>
      <c r="E312" s="284"/>
      <c r="F312" s="284"/>
      <c r="G312" s="285"/>
      <c r="I312" s="280" t="s">
        <v>54</v>
      </c>
      <c r="J312" s="280"/>
    </row>
    <row r="313" spans="1:10" s="89" customFormat="1" ht="15" thickBot="1" x14ac:dyDescent="0.35">
      <c r="A313" s="41" t="s">
        <v>37</v>
      </c>
      <c r="B313" s="42" t="s">
        <v>49</v>
      </c>
      <c r="C313" s="42" t="s">
        <v>48</v>
      </c>
      <c r="D313" s="42" t="s">
        <v>53</v>
      </c>
      <c r="E313" s="42" t="s">
        <v>52</v>
      </c>
      <c r="F313" s="42" t="s">
        <v>51</v>
      </c>
      <c r="G313" s="43" t="s">
        <v>50</v>
      </c>
      <c r="I313" s="98" t="s">
        <v>49</v>
      </c>
      <c r="J313" s="98" t="s">
        <v>48</v>
      </c>
    </row>
    <row r="314" spans="1:10" s="89" customFormat="1" x14ac:dyDescent="0.3">
      <c r="A314" s="44">
        <v>1</v>
      </c>
      <c r="B314" s="30">
        <f t="shared" ref="B314:B323" si="53">B265</f>
        <v>1440</v>
      </c>
      <c r="C314" s="36">
        <f>'Intensidad de precipitacion'!I8</f>
        <v>13.304997430737336</v>
      </c>
      <c r="D314" s="12">
        <f t="shared" ref="D314:D323" si="54">IF(A314="","",LN(B314))</f>
        <v>7.2723983925700466</v>
      </c>
      <c r="E314" s="12">
        <f t="shared" ref="E314:E323" si="55">IF(B314="","",LN(C314))</f>
        <v>2.5881397113245859</v>
      </c>
      <c r="F314" s="12">
        <f t="shared" ref="F314:F323" si="56">IF(A314="","",D314*E314)</f>
        <v>18.821983076383624</v>
      </c>
      <c r="G314" s="33">
        <f t="shared" ref="G314:G323" si="57">IF(B314="","",D314^2)</f>
        <v>52.887778380255398</v>
      </c>
      <c r="I314" s="96">
        <f t="shared" ref="I314:I323" si="58">B314</f>
        <v>1440</v>
      </c>
      <c r="J314" s="97">
        <f t="shared" ref="J314:J323" si="59">C314</f>
        <v>13.304997430737336</v>
      </c>
    </row>
    <row r="315" spans="1:10" s="89" customFormat="1" x14ac:dyDescent="0.3">
      <c r="A315" s="45">
        <f t="shared" ref="A315:A323" si="60">A314+1</f>
        <v>2</v>
      </c>
      <c r="B315" s="37">
        <f t="shared" si="53"/>
        <v>1080</v>
      </c>
      <c r="C315" s="38">
        <f>'Intensidad de precipitacion'!I9</f>
        <v>15.965996916884803</v>
      </c>
      <c r="D315" s="13">
        <f t="shared" si="54"/>
        <v>6.9847163201182658</v>
      </c>
      <c r="E315" s="13">
        <f t="shared" si="55"/>
        <v>2.7704612681185403</v>
      </c>
      <c r="F315" s="13">
        <f t="shared" si="56"/>
        <v>19.350886033683114</v>
      </c>
      <c r="G315" s="34">
        <f t="shared" si="57"/>
        <v>48.786262072526448</v>
      </c>
      <c r="I315" s="96">
        <f t="shared" si="58"/>
        <v>1080</v>
      </c>
      <c r="J315" s="97">
        <f t="shared" si="59"/>
        <v>15.965996916884803</v>
      </c>
    </row>
    <row r="316" spans="1:10" s="89" customFormat="1" x14ac:dyDescent="0.3">
      <c r="A316" s="45">
        <f t="shared" si="60"/>
        <v>3</v>
      </c>
      <c r="B316" s="37">
        <f t="shared" si="53"/>
        <v>720</v>
      </c>
      <c r="C316" s="38">
        <f>'Intensidad de precipitacion'!I10</f>
        <v>21.021895940564992</v>
      </c>
      <c r="D316" s="13">
        <f t="shared" si="54"/>
        <v>6.5792512120101012</v>
      </c>
      <c r="E316" s="13">
        <f t="shared" si="55"/>
        <v>3.0455645583634614</v>
      </c>
      <c r="F316" s="13">
        <f t="shared" si="56"/>
        <v>20.037534311867812</v>
      </c>
      <c r="G316" s="34">
        <f t="shared" si="57"/>
        <v>43.286546510736386</v>
      </c>
      <c r="I316" s="96">
        <f t="shared" si="58"/>
        <v>720</v>
      </c>
      <c r="J316" s="97">
        <f t="shared" si="59"/>
        <v>21.021895940564992</v>
      </c>
    </row>
    <row r="317" spans="1:10" s="89" customFormat="1" x14ac:dyDescent="0.3">
      <c r="A317" s="45">
        <f t="shared" si="60"/>
        <v>4</v>
      </c>
      <c r="B317" s="37">
        <f t="shared" si="53"/>
        <v>480</v>
      </c>
      <c r="C317" s="38">
        <f>'Intensidad de precipitacion'!I11</f>
        <v>25.545595067015682</v>
      </c>
      <c r="D317" s="13">
        <f t="shared" si="54"/>
        <v>6.1737861039019366</v>
      </c>
      <c r="E317" s="13">
        <f t="shared" si="55"/>
        <v>3.240464897364276</v>
      </c>
      <c r="F317" s="13">
        <f t="shared" si="56"/>
        <v>20.005937153529583</v>
      </c>
      <c r="G317" s="34">
        <f t="shared" si="57"/>
        <v>38.115634856732655</v>
      </c>
      <c r="I317" s="96">
        <f t="shared" si="58"/>
        <v>480</v>
      </c>
      <c r="J317" s="97">
        <f t="shared" si="59"/>
        <v>25.545595067015682</v>
      </c>
    </row>
    <row r="318" spans="1:10" s="89" customFormat="1" x14ac:dyDescent="0.3">
      <c r="A318" s="45">
        <f t="shared" si="60"/>
        <v>5</v>
      </c>
      <c r="B318" s="37">
        <f t="shared" si="53"/>
        <v>360</v>
      </c>
      <c r="C318" s="38">
        <f>'Intensidad de precipitacion'!I12</f>
        <v>29.803194244851635</v>
      </c>
      <c r="D318" s="13">
        <f t="shared" si="54"/>
        <v>5.8861040314501558</v>
      </c>
      <c r="E318" s="13">
        <f t="shared" si="55"/>
        <v>3.3946155771915345</v>
      </c>
      <c r="F318" s="13">
        <f t="shared" si="56"/>
        <v>19.98106043413059</v>
      </c>
      <c r="G318" s="34">
        <f t="shared" si="57"/>
        <v>34.646220669053776</v>
      </c>
      <c r="I318" s="96">
        <f t="shared" si="58"/>
        <v>360</v>
      </c>
      <c r="J318" s="97">
        <f t="shared" si="59"/>
        <v>29.803194244851635</v>
      </c>
    </row>
    <row r="319" spans="1:10" s="89" customFormat="1" x14ac:dyDescent="0.3">
      <c r="A319" s="45">
        <f t="shared" si="60"/>
        <v>6</v>
      </c>
      <c r="B319" s="37">
        <f t="shared" si="53"/>
        <v>300</v>
      </c>
      <c r="C319" s="38">
        <f>'Intensidad de precipitacion'!I13</f>
        <v>31.931993833769603</v>
      </c>
      <c r="D319" s="13">
        <f t="shared" si="54"/>
        <v>5.7037824746562009</v>
      </c>
      <c r="E319" s="13">
        <f t="shared" si="55"/>
        <v>3.4636084486784857</v>
      </c>
      <c r="F319" s="13">
        <f t="shared" si="56"/>
        <v>19.755669168643497</v>
      </c>
      <c r="G319" s="34">
        <f t="shared" si="57"/>
        <v>32.533134518195219</v>
      </c>
      <c r="I319" s="96">
        <f t="shared" si="58"/>
        <v>300</v>
      </c>
      <c r="J319" s="97">
        <f t="shared" si="59"/>
        <v>31.931993833769603</v>
      </c>
    </row>
    <row r="320" spans="1:10" s="89" customFormat="1" x14ac:dyDescent="0.3">
      <c r="A320" s="45">
        <f t="shared" si="60"/>
        <v>7</v>
      </c>
      <c r="B320" s="37">
        <f t="shared" si="53"/>
        <v>240</v>
      </c>
      <c r="C320" s="38">
        <f>'Intensidad de precipitacion'!I14</f>
        <v>35.125193217146567</v>
      </c>
      <c r="D320" s="13">
        <f t="shared" si="54"/>
        <v>5.4806389233419912</v>
      </c>
      <c r="E320" s="13">
        <f t="shared" si="55"/>
        <v>3.5589186284828105</v>
      </c>
      <c r="F320" s="13">
        <f t="shared" si="56"/>
        <v>19.505147960269788</v>
      </c>
      <c r="G320" s="34">
        <f t="shared" si="57"/>
        <v>30.03740300805126</v>
      </c>
      <c r="I320" s="96">
        <f t="shared" si="58"/>
        <v>240</v>
      </c>
      <c r="J320" s="97">
        <f t="shared" si="59"/>
        <v>35.125193217146567</v>
      </c>
    </row>
    <row r="321" spans="1:10" s="89" customFormat="1" x14ac:dyDescent="0.3">
      <c r="A321" s="45">
        <f t="shared" si="60"/>
        <v>8</v>
      </c>
      <c r="B321" s="37">
        <f t="shared" si="53"/>
        <v>180</v>
      </c>
      <c r="C321" s="38">
        <f>'Intensidad de precipitacion'!I15</f>
        <v>40.447192189441502</v>
      </c>
      <c r="D321" s="13">
        <f t="shared" si="54"/>
        <v>5.1929568508902104</v>
      </c>
      <c r="E321" s="13">
        <f t="shared" si="55"/>
        <v>3.6999972267427164</v>
      </c>
      <c r="F321" s="13">
        <f t="shared" si="56"/>
        <v>19.213925946888367</v>
      </c>
      <c r="G321" s="34">
        <f t="shared" si="57"/>
        <v>26.96680085520757</v>
      </c>
      <c r="I321" s="96">
        <f t="shared" si="58"/>
        <v>180</v>
      </c>
      <c r="J321" s="97">
        <f t="shared" si="59"/>
        <v>40.447192189441502</v>
      </c>
    </row>
    <row r="322" spans="1:10" s="89" customFormat="1" x14ac:dyDescent="0.3">
      <c r="A322" s="45">
        <f t="shared" si="60"/>
        <v>9</v>
      </c>
      <c r="B322" s="37">
        <f t="shared" si="53"/>
        <v>120</v>
      </c>
      <c r="C322" s="38">
        <f>'Intensidad de precipitacion'!I16</f>
        <v>49.49459044234289</v>
      </c>
      <c r="D322" s="13">
        <f t="shared" si="54"/>
        <v>4.7874917427820458</v>
      </c>
      <c r="E322" s="13">
        <f t="shared" si="55"/>
        <v>3.9018633796096411</v>
      </c>
      <c r="F322" s="13">
        <f t="shared" si="56"/>
        <v>18.680138711344803</v>
      </c>
      <c r="G322" s="34">
        <f t="shared" si="57"/>
        <v>22.920077187206271</v>
      </c>
      <c r="I322" s="96">
        <f t="shared" si="58"/>
        <v>120</v>
      </c>
      <c r="J322" s="97">
        <f t="shared" si="59"/>
        <v>49.49459044234289</v>
      </c>
    </row>
    <row r="323" spans="1:10" s="89" customFormat="1" ht="15" thickBot="1" x14ac:dyDescent="0.35">
      <c r="A323" s="18">
        <f t="shared" si="60"/>
        <v>10</v>
      </c>
      <c r="B323" s="39">
        <f t="shared" si="53"/>
        <v>60</v>
      </c>
      <c r="C323" s="40">
        <f>'Intensidad de precipitacion'!I17</f>
        <v>79.829984584424011</v>
      </c>
      <c r="D323" s="14">
        <f t="shared" si="54"/>
        <v>4.0943445622221004</v>
      </c>
      <c r="E323" s="14">
        <f t="shared" si="55"/>
        <v>4.3798991805526404</v>
      </c>
      <c r="F323" s="14">
        <f t="shared" si="56"/>
        <v>17.932816392976736</v>
      </c>
      <c r="G323" s="35">
        <f t="shared" si="57"/>
        <v>16.763657394197683</v>
      </c>
      <c r="I323" s="96">
        <f t="shared" si="58"/>
        <v>60</v>
      </c>
      <c r="J323" s="97">
        <f t="shared" si="59"/>
        <v>79.829984584424011</v>
      </c>
    </row>
    <row r="324" spans="1:10" s="89" customFormat="1" ht="15" thickBot="1" x14ac:dyDescent="0.35">
      <c r="A324" s="52">
        <f>COUNT(A314:A323)</f>
        <v>10</v>
      </c>
      <c r="B324" s="31">
        <f t="shared" ref="B324:G324" si="61">SUM(B314:B323)</f>
        <v>4980</v>
      </c>
      <c r="C324" s="32">
        <f t="shared" si="61"/>
        <v>342.470633867179</v>
      </c>
      <c r="D324" s="56">
        <f t="shared" si="61"/>
        <v>58.155470613943052</v>
      </c>
      <c r="E324" s="56">
        <f t="shared" si="61"/>
        <v>34.043532876428692</v>
      </c>
      <c r="F324" s="56">
        <f t="shared" si="61"/>
        <v>193.28509918971793</v>
      </c>
      <c r="G324" s="100">
        <f t="shared" si="61"/>
        <v>346.94351545216267</v>
      </c>
      <c r="H324" s="93"/>
      <c r="I324" s="91"/>
    </row>
    <row r="325" spans="1:10" s="89" customFormat="1" ht="15" thickBot="1" x14ac:dyDescent="0.35">
      <c r="A325" s="46" t="s">
        <v>96</v>
      </c>
      <c r="B325" s="47">
        <f>((F324*D324)-(G324*E324))/((D324^2)-(G324*A324))</f>
        <v>6.5303345011325939</v>
      </c>
      <c r="C325" s="48" t="s">
        <v>95</v>
      </c>
      <c r="D325" s="49">
        <f>EXP(B325)</f>
        <v>685.62751631905496</v>
      </c>
      <c r="E325" s="50" t="s">
        <v>101</v>
      </c>
      <c r="F325" s="47">
        <f>(E324-(A324*B325))/D324</f>
        <v>-0.53752143701855903</v>
      </c>
      <c r="G325" s="51"/>
      <c r="H325" s="93"/>
      <c r="I325" s="91"/>
    </row>
    <row r="326" spans="1:10" s="89" customFormat="1" x14ac:dyDescent="0.3">
      <c r="A326" s="102"/>
      <c r="B326" s="103"/>
      <c r="C326" s="104"/>
      <c r="D326" s="105"/>
      <c r="E326" s="104"/>
      <c r="F326" s="103"/>
      <c r="G326" s="92"/>
      <c r="H326" s="93"/>
      <c r="I326" s="91"/>
    </row>
    <row r="327" spans="1:10" s="89" customFormat="1" x14ac:dyDescent="0.3"/>
    <row r="328" spans="1:10" s="89" customFormat="1" x14ac:dyDescent="0.3"/>
    <row r="329" spans="1:10" s="89" customFormat="1" x14ac:dyDescent="0.3"/>
    <row r="330" spans="1:10" s="89" customFormat="1" x14ac:dyDescent="0.3"/>
    <row r="331" spans="1:10" s="89" customFormat="1" x14ac:dyDescent="0.3"/>
    <row r="332" spans="1:10" s="89" customFormat="1" x14ac:dyDescent="0.3"/>
    <row r="333" spans="1:10" s="89" customFormat="1" x14ac:dyDescent="0.3"/>
    <row r="334" spans="1:10" s="89" customFormat="1" x14ac:dyDescent="0.3"/>
    <row r="335" spans="1:10" s="89" customFormat="1" x14ac:dyDescent="0.3"/>
    <row r="336" spans="1:10" s="89" customFormat="1" x14ac:dyDescent="0.3"/>
    <row r="337" s="89" customFormat="1" x14ac:dyDescent="0.3"/>
    <row r="338" s="89" customFormat="1" x14ac:dyDescent="0.3"/>
    <row r="339" s="89" customFormat="1" x14ac:dyDescent="0.3"/>
    <row r="340" s="89" customFormat="1" x14ac:dyDescent="0.3"/>
    <row r="341" s="89" customFormat="1" x14ac:dyDescent="0.3"/>
    <row r="342" s="89" customFormat="1" x14ac:dyDescent="0.3"/>
    <row r="343" s="89" customFormat="1" x14ac:dyDescent="0.3"/>
  </sheetData>
  <mergeCells count="21">
    <mergeCell ref="A1:G1"/>
    <mergeCell ref="A50:G50"/>
    <mergeCell ref="A99:G99"/>
    <mergeCell ref="A148:G148"/>
    <mergeCell ref="A312:G312"/>
    <mergeCell ref="I312:J312"/>
    <mergeCell ref="I18:J18"/>
    <mergeCell ref="A165:G165"/>
    <mergeCell ref="I165:J165"/>
    <mergeCell ref="A214:G214"/>
    <mergeCell ref="I214:J214"/>
    <mergeCell ref="A263:G263"/>
    <mergeCell ref="I263:J263"/>
    <mergeCell ref="A18:G18"/>
    <mergeCell ref="A67:G67"/>
    <mergeCell ref="I67:J67"/>
    <mergeCell ref="I115:J115"/>
    <mergeCell ref="A197:G197"/>
    <mergeCell ref="A246:G246"/>
    <mergeCell ref="A295:G295"/>
    <mergeCell ref="A115:G115"/>
  </mergeCells>
  <printOptions horizontalCentered="1"/>
  <pageMargins left="0.78740157480314965" right="0.78740157480314965" top="0.78740157480314965" bottom="0.78740157480314965" header="0" footer="0"/>
  <pageSetup paperSize="9" orientation="portrait" r:id="rId1"/>
  <rowBreaks count="1" manualBreakCount="1">
    <brk id="49" max="6" man="1"/>
  </rowBreaks>
  <drawing r:id="rId2"/>
  <legacyDrawing r:id="rId3"/>
  <oleObjects>
    <mc:AlternateContent xmlns:mc="http://schemas.openxmlformats.org/markup-compatibility/2006">
      <mc:Choice Requires="x14">
        <oleObject progId="Equation.3" shapeId="5121" r:id="rId4">
          <objectPr defaultSize="0" autoPict="0" r:id="rId5">
            <anchor moveWithCells="1" sizeWithCells="1">
              <from>
                <xdr:col>1</xdr:col>
                <xdr:colOff>754380</xdr:colOff>
                <xdr:row>1</xdr:row>
                <xdr:rowOff>45720</xdr:rowOff>
              </from>
              <to>
                <xdr:col>3</xdr:col>
                <xdr:colOff>541020</xdr:colOff>
                <xdr:row>4</xdr:row>
                <xdr:rowOff>7620</xdr:rowOff>
              </to>
            </anchor>
          </objectPr>
        </oleObject>
      </mc:Choice>
      <mc:Fallback>
        <oleObject progId="Equation.3" shapeId="5121" r:id="rId4"/>
      </mc:Fallback>
    </mc:AlternateContent>
    <mc:AlternateContent xmlns:mc="http://schemas.openxmlformats.org/markup-compatibility/2006">
      <mc:Choice Requires="x14">
        <oleObject progId="Equation.3" shapeId="5122" r:id="rId6">
          <objectPr defaultSize="0" autoPict="0" r:id="rId7">
            <anchor moveWithCells="1" sizeWithCells="1">
              <from>
                <xdr:col>3</xdr:col>
                <xdr:colOff>30480</xdr:colOff>
                <xdr:row>9</xdr:row>
                <xdr:rowOff>121920</xdr:rowOff>
              </from>
              <to>
                <xdr:col>4</xdr:col>
                <xdr:colOff>426720</xdr:colOff>
                <xdr:row>11</xdr:row>
                <xdr:rowOff>38100</xdr:rowOff>
              </to>
            </anchor>
          </objectPr>
        </oleObject>
      </mc:Choice>
      <mc:Fallback>
        <oleObject progId="Equation.3" shapeId="5122" r:id="rId6"/>
      </mc:Fallback>
    </mc:AlternateContent>
    <mc:AlternateContent xmlns:mc="http://schemas.openxmlformats.org/markup-compatibility/2006">
      <mc:Choice Requires="x14">
        <oleObject progId="Equation.3" shapeId="5123" r:id="rId8">
          <objectPr defaultSize="0" autoPict="0" r:id="rId9">
            <anchor moveWithCells="1" sizeWithCells="1">
              <from>
                <xdr:col>3</xdr:col>
                <xdr:colOff>746760</xdr:colOff>
                <xdr:row>12</xdr:row>
                <xdr:rowOff>38100</xdr:rowOff>
              </from>
              <to>
                <xdr:col>6</xdr:col>
                <xdr:colOff>144780</xdr:colOff>
                <xdr:row>14</xdr:row>
                <xdr:rowOff>175260</xdr:rowOff>
              </to>
            </anchor>
          </objectPr>
        </oleObject>
      </mc:Choice>
      <mc:Fallback>
        <oleObject progId="Equation.3" shapeId="5123" r:id="rId8"/>
      </mc:Fallback>
    </mc:AlternateContent>
    <mc:AlternateContent xmlns:mc="http://schemas.openxmlformats.org/markup-compatibility/2006">
      <mc:Choice Requires="x14">
        <oleObject progId="Equation.3" shapeId="5124" r:id="rId10">
          <objectPr defaultSize="0" autoPict="0" r:id="rId5">
            <anchor moveWithCells="1" sizeWithCells="1">
              <from>
                <xdr:col>1</xdr:col>
                <xdr:colOff>754380</xdr:colOff>
                <xdr:row>50</xdr:row>
                <xdr:rowOff>45720</xdr:rowOff>
              </from>
              <to>
                <xdr:col>3</xdr:col>
                <xdr:colOff>541020</xdr:colOff>
                <xdr:row>53</xdr:row>
                <xdr:rowOff>7620</xdr:rowOff>
              </to>
            </anchor>
          </objectPr>
        </oleObject>
      </mc:Choice>
      <mc:Fallback>
        <oleObject progId="Equation.3" shapeId="5124" r:id="rId10"/>
      </mc:Fallback>
    </mc:AlternateContent>
    <mc:AlternateContent xmlns:mc="http://schemas.openxmlformats.org/markup-compatibility/2006">
      <mc:Choice Requires="x14">
        <oleObject progId="Equation.3" shapeId="5125" r:id="rId11">
          <objectPr defaultSize="0" autoPict="0" r:id="rId7">
            <anchor moveWithCells="1" sizeWithCells="1">
              <from>
                <xdr:col>3</xdr:col>
                <xdr:colOff>30480</xdr:colOff>
                <xdr:row>58</xdr:row>
                <xdr:rowOff>121920</xdr:rowOff>
              </from>
              <to>
                <xdr:col>4</xdr:col>
                <xdr:colOff>426720</xdr:colOff>
                <xdr:row>60</xdr:row>
                <xdr:rowOff>38100</xdr:rowOff>
              </to>
            </anchor>
          </objectPr>
        </oleObject>
      </mc:Choice>
      <mc:Fallback>
        <oleObject progId="Equation.3" shapeId="5125" r:id="rId11"/>
      </mc:Fallback>
    </mc:AlternateContent>
    <mc:AlternateContent xmlns:mc="http://schemas.openxmlformats.org/markup-compatibility/2006">
      <mc:Choice Requires="x14">
        <oleObject progId="Equation.3" shapeId="5126" r:id="rId12">
          <objectPr defaultSize="0" autoPict="0" r:id="rId9">
            <anchor moveWithCells="1" sizeWithCells="1">
              <from>
                <xdr:col>3</xdr:col>
                <xdr:colOff>746760</xdr:colOff>
                <xdr:row>61</xdr:row>
                <xdr:rowOff>38100</xdr:rowOff>
              </from>
              <to>
                <xdr:col>6</xdr:col>
                <xdr:colOff>144780</xdr:colOff>
                <xdr:row>63</xdr:row>
                <xdr:rowOff>175260</xdr:rowOff>
              </to>
            </anchor>
          </objectPr>
        </oleObject>
      </mc:Choice>
      <mc:Fallback>
        <oleObject progId="Equation.3" shapeId="5126" r:id="rId12"/>
      </mc:Fallback>
    </mc:AlternateContent>
    <mc:AlternateContent xmlns:mc="http://schemas.openxmlformats.org/markup-compatibility/2006">
      <mc:Choice Requires="x14">
        <oleObject progId="Equation.3" shapeId="5127" r:id="rId13">
          <objectPr defaultSize="0" autoPict="0" r:id="rId5">
            <anchor moveWithCells="1" sizeWithCells="1">
              <from>
                <xdr:col>1</xdr:col>
                <xdr:colOff>754380</xdr:colOff>
                <xdr:row>99</xdr:row>
                <xdr:rowOff>45720</xdr:rowOff>
              </from>
              <to>
                <xdr:col>3</xdr:col>
                <xdr:colOff>541020</xdr:colOff>
                <xdr:row>102</xdr:row>
                <xdr:rowOff>7620</xdr:rowOff>
              </to>
            </anchor>
          </objectPr>
        </oleObject>
      </mc:Choice>
      <mc:Fallback>
        <oleObject progId="Equation.3" shapeId="5127" r:id="rId13"/>
      </mc:Fallback>
    </mc:AlternateContent>
    <mc:AlternateContent xmlns:mc="http://schemas.openxmlformats.org/markup-compatibility/2006">
      <mc:Choice Requires="x14">
        <oleObject progId="Equation.3" shapeId="5128" r:id="rId14">
          <objectPr defaultSize="0" autoPict="0" r:id="rId7">
            <anchor moveWithCells="1" sizeWithCells="1">
              <from>
                <xdr:col>3</xdr:col>
                <xdr:colOff>30480</xdr:colOff>
                <xdr:row>107</xdr:row>
                <xdr:rowOff>121920</xdr:rowOff>
              </from>
              <to>
                <xdr:col>4</xdr:col>
                <xdr:colOff>426720</xdr:colOff>
                <xdr:row>109</xdr:row>
                <xdr:rowOff>38100</xdr:rowOff>
              </to>
            </anchor>
          </objectPr>
        </oleObject>
      </mc:Choice>
      <mc:Fallback>
        <oleObject progId="Equation.3" shapeId="5128" r:id="rId14"/>
      </mc:Fallback>
    </mc:AlternateContent>
    <mc:AlternateContent xmlns:mc="http://schemas.openxmlformats.org/markup-compatibility/2006">
      <mc:Choice Requires="x14">
        <oleObject progId="Equation.3" shapeId="5129" r:id="rId15">
          <objectPr defaultSize="0" autoPict="0" r:id="rId9">
            <anchor moveWithCells="1" sizeWithCells="1">
              <from>
                <xdr:col>3</xdr:col>
                <xdr:colOff>746760</xdr:colOff>
                <xdr:row>110</xdr:row>
                <xdr:rowOff>38100</xdr:rowOff>
              </from>
              <to>
                <xdr:col>6</xdr:col>
                <xdr:colOff>144780</xdr:colOff>
                <xdr:row>112</xdr:row>
                <xdr:rowOff>175260</xdr:rowOff>
              </to>
            </anchor>
          </objectPr>
        </oleObject>
      </mc:Choice>
      <mc:Fallback>
        <oleObject progId="Equation.3" shapeId="5129" r:id="rId15"/>
      </mc:Fallback>
    </mc:AlternateContent>
    <mc:AlternateContent xmlns:mc="http://schemas.openxmlformats.org/markup-compatibility/2006">
      <mc:Choice Requires="x14">
        <oleObject progId="Equation.3" shapeId="5130" r:id="rId16">
          <objectPr defaultSize="0" autoPict="0" r:id="rId5">
            <anchor moveWithCells="1" sizeWithCells="1">
              <from>
                <xdr:col>1</xdr:col>
                <xdr:colOff>754380</xdr:colOff>
                <xdr:row>148</xdr:row>
                <xdr:rowOff>45720</xdr:rowOff>
              </from>
              <to>
                <xdr:col>3</xdr:col>
                <xdr:colOff>541020</xdr:colOff>
                <xdr:row>151</xdr:row>
                <xdr:rowOff>7620</xdr:rowOff>
              </to>
            </anchor>
          </objectPr>
        </oleObject>
      </mc:Choice>
      <mc:Fallback>
        <oleObject progId="Equation.3" shapeId="5130" r:id="rId16"/>
      </mc:Fallback>
    </mc:AlternateContent>
    <mc:AlternateContent xmlns:mc="http://schemas.openxmlformats.org/markup-compatibility/2006">
      <mc:Choice Requires="x14">
        <oleObject progId="Equation.3" shapeId="5131" r:id="rId17">
          <objectPr defaultSize="0" autoPict="0" r:id="rId7">
            <anchor moveWithCells="1" sizeWithCells="1">
              <from>
                <xdr:col>3</xdr:col>
                <xdr:colOff>30480</xdr:colOff>
                <xdr:row>156</xdr:row>
                <xdr:rowOff>121920</xdr:rowOff>
              </from>
              <to>
                <xdr:col>4</xdr:col>
                <xdr:colOff>426720</xdr:colOff>
                <xdr:row>158</xdr:row>
                <xdr:rowOff>38100</xdr:rowOff>
              </to>
            </anchor>
          </objectPr>
        </oleObject>
      </mc:Choice>
      <mc:Fallback>
        <oleObject progId="Equation.3" shapeId="5131" r:id="rId17"/>
      </mc:Fallback>
    </mc:AlternateContent>
    <mc:AlternateContent xmlns:mc="http://schemas.openxmlformats.org/markup-compatibility/2006">
      <mc:Choice Requires="x14">
        <oleObject progId="Equation.3" shapeId="5132" r:id="rId18">
          <objectPr defaultSize="0" autoPict="0" r:id="rId9">
            <anchor moveWithCells="1" sizeWithCells="1">
              <from>
                <xdr:col>3</xdr:col>
                <xdr:colOff>746760</xdr:colOff>
                <xdr:row>159</xdr:row>
                <xdr:rowOff>38100</xdr:rowOff>
              </from>
              <to>
                <xdr:col>6</xdr:col>
                <xdr:colOff>144780</xdr:colOff>
                <xdr:row>161</xdr:row>
                <xdr:rowOff>175260</xdr:rowOff>
              </to>
            </anchor>
          </objectPr>
        </oleObject>
      </mc:Choice>
      <mc:Fallback>
        <oleObject progId="Equation.3" shapeId="5132" r:id="rId18"/>
      </mc:Fallback>
    </mc:AlternateContent>
    <mc:AlternateContent xmlns:mc="http://schemas.openxmlformats.org/markup-compatibility/2006">
      <mc:Choice Requires="x14">
        <oleObject progId="Equation.3" shapeId="5133" r:id="rId19">
          <objectPr defaultSize="0" autoPict="0" r:id="rId5">
            <anchor moveWithCells="1" sizeWithCells="1">
              <from>
                <xdr:col>1</xdr:col>
                <xdr:colOff>754380</xdr:colOff>
                <xdr:row>197</xdr:row>
                <xdr:rowOff>45720</xdr:rowOff>
              </from>
              <to>
                <xdr:col>3</xdr:col>
                <xdr:colOff>541020</xdr:colOff>
                <xdr:row>200</xdr:row>
                <xdr:rowOff>7620</xdr:rowOff>
              </to>
            </anchor>
          </objectPr>
        </oleObject>
      </mc:Choice>
      <mc:Fallback>
        <oleObject progId="Equation.3" shapeId="5133" r:id="rId19"/>
      </mc:Fallback>
    </mc:AlternateContent>
    <mc:AlternateContent xmlns:mc="http://schemas.openxmlformats.org/markup-compatibility/2006">
      <mc:Choice Requires="x14">
        <oleObject progId="Equation.3" shapeId="5134" r:id="rId20">
          <objectPr defaultSize="0" autoPict="0" r:id="rId7">
            <anchor moveWithCells="1" sizeWithCells="1">
              <from>
                <xdr:col>3</xdr:col>
                <xdr:colOff>30480</xdr:colOff>
                <xdr:row>205</xdr:row>
                <xdr:rowOff>121920</xdr:rowOff>
              </from>
              <to>
                <xdr:col>4</xdr:col>
                <xdr:colOff>426720</xdr:colOff>
                <xdr:row>207</xdr:row>
                <xdr:rowOff>38100</xdr:rowOff>
              </to>
            </anchor>
          </objectPr>
        </oleObject>
      </mc:Choice>
      <mc:Fallback>
        <oleObject progId="Equation.3" shapeId="5134" r:id="rId20"/>
      </mc:Fallback>
    </mc:AlternateContent>
    <mc:AlternateContent xmlns:mc="http://schemas.openxmlformats.org/markup-compatibility/2006">
      <mc:Choice Requires="x14">
        <oleObject progId="Equation.3" shapeId="5135" r:id="rId21">
          <objectPr defaultSize="0" autoPict="0" r:id="rId9">
            <anchor moveWithCells="1" sizeWithCells="1">
              <from>
                <xdr:col>3</xdr:col>
                <xdr:colOff>746760</xdr:colOff>
                <xdr:row>208</xdr:row>
                <xdr:rowOff>38100</xdr:rowOff>
              </from>
              <to>
                <xdr:col>6</xdr:col>
                <xdr:colOff>144780</xdr:colOff>
                <xdr:row>210</xdr:row>
                <xdr:rowOff>175260</xdr:rowOff>
              </to>
            </anchor>
          </objectPr>
        </oleObject>
      </mc:Choice>
      <mc:Fallback>
        <oleObject progId="Equation.3" shapeId="5135" r:id="rId21"/>
      </mc:Fallback>
    </mc:AlternateContent>
    <mc:AlternateContent xmlns:mc="http://schemas.openxmlformats.org/markup-compatibility/2006">
      <mc:Choice Requires="x14">
        <oleObject progId="Equation.3" shapeId="5136" r:id="rId22">
          <objectPr defaultSize="0" autoPict="0" r:id="rId5">
            <anchor moveWithCells="1" sizeWithCells="1">
              <from>
                <xdr:col>1</xdr:col>
                <xdr:colOff>754380</xdr:colOff>
                <xdr:row>246</xdr:row>
                <xdr:rowOff>45720</xdr:rowOff>
              </from>
              <to>
                <xdr:col>3</xdr:col>
                <xdr:colOff>541020</xdr:colOff>
                <xdr:row>249</xdr:row>
                <xdr:rowOff>7620</xdr:rowOff>
              </to>
            </anchor>
          </objectPr>
        </oleObject>
      </mc:Choice>
      <mc:Fallback>
        <oleObject progId="Equation.3" shapeId="5136" r:id="rId22"/>
      </mc:Fallback>
    </mc:AlternateContent>
    <mc:AlternateContent xmlns:mc="http://schemas.openxmlformats.org/markup-compatibility/2006">
      <mc:Choice Requires="x14">
        <oleObject progId="Equation.3" shapeId="5137" r:id="rId23">
          <objectPr defaultSize="0" autoPict="0" r:id="rId7">
            <anchor moveWithCells="1" sizeWithCells="1">
              <from>
                <xdr:col>3</xdr:col>
                <xdr:colOff>30480</xdr:colOff>
                <xdr:row>254</xdr:row>
                <xdr:rowOff>121920</xdr:rowOff>
              </from>
              <to>
                <xdr:col>4</xdr:col>
                <xdr:colOff>426720</xdr:colOff>
                <xdr:row>256</xdr:row>
                <xdr:rowOff>38100</xdr:rowOff>
              </to>
            </anchor>
          </objectPr>
        </oleObject>
      </mc:Choice>
      <mc:Fallback>
        <oleObject progId="Equation.3" shapeId="5137" r:id="rId23"/>
      </mc:Fallback>
    </mc:AlternateContent>
    <mc:AlternateContent xmlns:mc="http://schemas.openxmlformats.org/markup-compatibility/2006">
      <mc:Choice Requires="x14">
        <oleObject progId="Equation.3" shapeId="5138" r:id="rId24">
          <objectPr defaultSize="0" autoPict="0" r:id="rId9">
            <anchor moveWithCells="1" sizeWithCells="1">
              <from>
                <xdr:col>3</xdr:col>
                <xdr:colOff>746760</xdr:colOff>
                <xdr:row>257</xdr:row>
                <xdr:rowOff>38100</xdr:rowOff>
              </from>
              <to>
                <xdr:col>6</xdr:col>
                <xdr:colOff>144780</xdr:colOff>
                <xdr:row>259</xdr:row>
                <xdr:rowOff>175260</xdr:rowOff>
              </to>
            </anchor>
          </objectPr>
        </oleObject>
      </mc:Choice>
      <mc:Fallback>
        <oleObject progId="Equation.3" shapeId="5138" r:id="rId24"/>
      </mc:Fallback>
    </mc:AlternateContent>
    <mc:AlternateContent xmlns:mc="http://schemas.openxmlformats.org/markup-compatibility/2006">
      <mc:Choice Requires="x14">
        <oleObject progId="Equation.3" shapeId="5139" r:id="rId25">
          <objectPr defaultSize="0" autoPict="0" r:id="rId5">
            <anchor moveWithCells="1" sizeWithCells="1">
              <from>
                <xdr:col>1</xdr:col>
                <xdr:colOff>754380</xdr:colOff>
                <xdr:row>295</xdr:row>
                <xdr:rowOff>45720</xdr:rowOff>
              </from>
              <to>
                <xdr:col>3</xdr:col>
                <xdr:colOff>541020</xdr:colOff>
                <xdr:row>298</xdr:row>
                <xdr:rowOff>7620</xdr:rowOff>
              </to>
            </anchor>
          </objectPr>
        </oleObject>
      </mc:Choice>
      <mc:Fallback>
        <oleObject progId="Equation.3" shapeId="5139" r:id="rId25"/>
      </mc:Fallback>
    </mc:AlternateContent>
    <mc:AlternateContent xmlns:mc="http://schemas.openxmlformats.org/markup-compatibility/2006">
      <mc:Choice Requires="x14">
        <oleObject progId="Equation.3" shapeId="5140" r:id="rId26">
          <objectPr defaultSize="0" autoPict="0" r:id="rId7">
            <anchor moveWithCells="1" sizeWithCells="1">
              <from>
                <xdr:col>3</xdr:col>
                <xdr:colOff>30480</xdr:colOff>
                <xdr:row>303</xdr:row>
                <xdr:rowOff>121920</xdr:rowOff>
              </from>
              <to>
                <xdr:col>4</xdr:col>
                <xdr:colOff>426720</xdr:colOff>
                <xdr:row>305</xdr:row>
                <xdr:rowOff>38100</xdr:rowOff>
              </to>
            </anchor>
          </objectPr>
        </oleObject>
      </mc:Choice>
      <mc:Fallback>
        <oleObject progId="Equation.3" shapeId="5140" r:id="rId26"/>
      </mc:Fallback>
    </mc:AlternateContent>
    <mc:AlternateContent xmlns:mc="http://schemas.openxmlformats.org/markup-compatibility/2006">
      <mc:Choice Requires="x14">
        <oleObject progId="Equation.3" shapeId="5141" r:id="rId27">
          <objectPr defaultSize="0" autoPict="0" r:id="rId9">
            <anchor moveWithCells="1" sizeWithCells="1">
              <from>
                <xdr:col>3</xdr:col>
                <xdr:colOff>746760</xdr:colOff>
                <xdr:row>306</xdr:row>
                <xdr:rowOff>38100</xdr:rowOff>
              </from>
              <to>
                <xdr:col>6</xdr:col>
                <xdr:colOff>144780</xdr:colOff>
                <xdr:row>308</xdr:row>
                <xdr:rowOff>175260</xdr:rowOff>
              </to>
            </anchor>
          </objectPr>
        </oleObject>
      </mc:Choice>
      <mc:Fallback>
        <oleObject progId="Equation.3" shapeId="5141" r:id="rId27"/>
      </mc:Fallback>
    </mc:AlternateContent>
  </oleObjec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39997558519241921"/>
  </sheetPr>
  <dimension ref="A1:T31"/>
  <sheetViews>
    <sheetView view="pageBreakPreview" zoomScaleNormal="100" zoomScaleSheetLayoutView="100" workbookViewId="0">
      <selection activeCell="I13" sqref="I13"/>
    </sheetView>
  </sheetViews>
  <sheetFormatPr baseColWidth="10" defaultColWidth="11.44140625" defaultRowHeight="13.2" x14ac:dyDescent="0.25"/>
  <cols>
    <col min="1" max="10" width="11.44140625" style="113"/>
    <col min="11" max="11" width="26.5546875" style="113" customWidth="1"/>
    <col min="12" max="16384" width="11.44140625" style="113"/>
  </cols>
  <sheetData>
    <row r="1" spans="1:19" ht="15" customHeight="1" x14ac:dyDescent="0.25">
      <c r="A1" s="298" t="s">
        <v>75</v>
      </c>
      <c r="B1" s="299"/>
      <c r="C1" s="299"/>
      <c r="D1" s="299"/>
      <c r="E1" s="299"/>
      <c r="F1" s="300"/>
      <c r="G1" s="23"/>
      <c r="H1" s="23"/>
      <c r="I1" s="19"/>
      <c r="J1" s="19"/>
      <c r="K1" s="19"/>
      <c r="L1" s="19"/>
      <c r="M1" s="19"/>
      <c r="N1" s="19"/>
      <c r="O1" s="19"/>
      <c r="P1" s="164"/>
      <c r="Q1" s="19"/>
      <c r="R1" s="19"/>
    </row>
    <row r="2" spans="1:19" ht="15" customHeight="1" x14ac:dyDescent="0.25">
      <c r="A2" s="301" t="s">
        <v>76</v>
      </c>
      <c r="B2" s="302"/>
      <c r="C2" s="301" t="s">
        <v>77</v>
      </c>
      <c r="D2" s="303"/>
      <c r="E2" s="302" t="s">
        <v>78</v>
      </c>
      <c r="F2" s="303"/>
      <c r="G2" s="290"/>
      <c r="H2" s="290"/>
      <c r="I2" s="19"/>
      <c r="J2" s="19"/>
      <c r="K2" s="19"/>
      <c r="L2" s="19"/>
      <c r="M2" s="19"/>
      <c r="N2" s="19"/>
      <c r="O2" s="19"/>
      <c r="P2" s="164"/>
      <c r="Q2" s="19"/>
      <c r="R2" s="19"/>
    </row>
    <row r="3" spans="1:19" ht="15" customHeight="1" x14ac:dyDescent="0.25">
      <c r="A3" s="294" t="s">
        <v>79</v>
      </c>
      <c r="B3" s="295"/>
      <c r="C3" s="294" t="s">
        <v>80</v>
      </c>
      <c r="D3" s="296"/>
      <c r="E3" s="295" t="s">
        <v>102</v>
      </c>
      <c r="F3" s="296"/>
      <c r="G3" s="290"/>
      <c r="H3" s="290"/>
      <c r="I3" s="19"/>
      <c r="J3" s="19"/>
      <c r="K3" s="19"/>
      <c r="L3" s="19"/>
      <c r="M3" s="19"/>
      <c r="N3" s="19"/>
      <c r="O3" s="19"/>
      <c r="P3" s="164"/>
      <c r="Q3" s="19"/>
      <c r="R3" s="19"/>
    </row>
    <row r="4" spans="1:19" ht="15" customHeight="1" x14ac:dyDescent="0.25">
      <c r="A4" s="291">
        <f>'Precip. Máx. Probable'!M8</f>
        <v>2</v>
      </c>
      <c r="B4" s="291"/>
      <c r="C4" s="297">
        <f>'Regresiones I-D-T'!$D$31</f>
        <v>142.05988320144218</v>
      </c>
      <c r="D4" s="297"/>
      <c r="E4" s="297">
        <f>'Regresiones I-D-T'!$F$31</f>
        <v>-0.53752143701855726</v>
      </c>
      <c r="F4" s="297"/>
      <c r="G4" s="290"/>
      <c r="H4" s="290"/>
      <c r="I4" s="19"/>
      <c r="J4" s="19"/>
      <c r="K4" s="179"/>
      <c r="L4" s="19"/>
      <c r="M4" s="19"/>
      <c r="N4" s="19"/>
      <c r="O4" s="19"/>
      <c r="P4" s="164"/>
      <c r="Q4" s="19"/>
      <c r="R4" s="19"/>
    </row>
    <row r="5" spans="1:19" ht="15" customHeight="1" x14ac:dyDescent="0.25">
      <c r="A5" s="291">
        <f>'Precip. Máx. Probable'!M9</f>
        <v>5</v>
      </c>
      <c r="B5" s="291"/>
      <c r="C5" s="292">
        <f>'Regresiones I-D-T'!$D$80</f>
        <v>247.427478023649</v>
      </c>
      <c r="D5" s="292"/>
      <c r="E5" s="292">
        <f>'Regresiones I-D-T'!$F$80</f>
        <v>-0.53752143701855915</v>
      </c>
      <c r="F5" s="292"/>
      <c r="G5" s="290"/>
      <c r="H5" s="290"/>
      <c r="I5" s="19"/>
      <c r="J5" s="19"/>
      <c r="K5" s="179"/>
      <c r="L5" s="19"/>
      <c r="M5" s="19"/>
      <c r="N5" s="19"/>
      <c r="O5" s="19"/>
      <c r="P5" s="164"/>
      <c r="Q5" s="19"/>
      <c r="R5" s="19"/>
    </row>
    <row r="6" spans="1:19" ht="15" customHeight="1" x14ac:dyDescent="0.25">
      <c r="A6" s="291">
        <f>'Precip. Máx. Probable'!M10</f>
        <v>10</v>
      </c>
      <c r="B6" s="291"/>
      <c r="C6" s="292">
        <f>'Regresiones I-D-T'!$D$128</f>
        <v>317.18999413289919</v>
      </c>
      <c r="D6" s="292"/>
      <c r="E6" s="292">
        <f>'Regresiones I-D-T'!$F$128</f>
        <v>-0.53752143701856214</v>
      </c>
      <c r="F6" s="292"/>
      <c r="G6" s="290"/>
      <c r="H6" s="290"/>
      <c r="I6" s="19"/>
      <c r="J6" s="19"/>
      <c r="K6" s="179"/>
      <c r="L6" s="19"/>
      <c r="M6" s="19"/>
      <c r="N6" s="19"/>
      <c r="O6" s="19"/>
      <c r="P6" s="164"/>
      <c r="Q6" s="19"/>
      <c r="R6" s="19"/>
    </row>
    <row r="7" spans="1:19" ht="15" customHeight="1" x14ac:dyDescent="0.25">
      <c r="A7" s="291">
        <f>'Precip. Máx. Probable'!M11</f>
        <v>25</v>
      </c>
      <c r="B7" s="291"/>
      <c r="C7" s="292">
        <f>'Regresiones I-D-T'!$D$178</f>
        <v>442.80146268190157</v>
      </c>
      <c r="D7" s="292"/>
      <c r="E7" s="292">
        <f>'Regresiones I-D-T'!$F$178</f>
        <v>-0.55496493933454161</v>
      </c>
      <c r="F7" s="292"/>
      <c r="G7" s="290"/>
      <c r="H7" s="290"/>
      <c r="I7" s="19"/>
      <c r="J7" s="19"/>
      <c r="K7" s="179"/>
      <c r="L7" s="19"/>
      <c r="M7" s="19"/>
      <c r="N7" s="19"/>
      <c r="O7" s="19"/>
      <c r="P7" s="164"/>
      <c r="Q7" s="19"/>
      <c r="R7" s="19"/>
    </row>
    <row r="8" spans="1:19" ht="15" customHeight="1" x14ac:dyDescent="0.25">
      <c r="A8" s="291">
        <f>'Precip. Máx. Probable'!M12</f>
        <v>50</v>
      </c>
      <c r="B8" s="291"/>
      <c r="C8" s="292">
        <f>'Regresiones I-D-T'!$D$227</f>
        <v>470.7262065439387</v>
      </c>
      <c r="D8" s="292"/>
      <c r="E8" s="292">
        <f>'Regresiones I-D-T'!$F$227</f>
        <v>-0.53752143701856381</v>
      </c>
      <c r="F8" s="292"/>
      <c r="G8" s="290"/>
      <c r="H8" s="290"/>
      <c r="I8" s="19"/>
      <c r="J8" s="19"/>
      <c r="K8" s="179"/>
      <c r="L8" s="19"/>
      <c r="M8" s="19"/>
      <c r="N8" s="19"/>
      <c r="O8" s="19"/>
      <c r="P8" s="164"/>
      <c r="Q8" s="19"/>
      <c r="R8" s="19"/>
    </row>
    <row r="9" spans="1:19" ht="15" customHeight="1" x14ac:dyDescent="0.25">
      <c r="A9" s="291">
        <f>'Precip. Máx. Probable'!M13</f>
        <v>100</v>
      </c>
      <c r="B9" s="291"/>
      <c r="C9" s="292">
        <f>'Regresiones I-D-T'!$D$276</f>
        <v>535.63445738204439</v>
      </c>
      <c r="D9" s="292"/>
      <c r="E9" s="292">
        <f>'Regresiones I-D-T'!$F$276</f>
        <v>-0.53752143701855681</v>
      </c>
      <c r="F9" s="292"/>
      <c r="G9" s="290"/>
      <c r="H9" s="290"/>
      <c r="I9" s="25"/>
      <c r="J9" s="19"/>
      <c r="K9" s="179"/>
      <c r="L9" s="19"/>
      <c r="M9" s="19"/>
      <c r="N9" s="19"/>
      <c r="O9" s="19"/>
      <c r="P9" s="164"/>
      <c r="Q9" s="19"/>
      <c r="R9" s="19"/>
    </row>
    <row r="10" spans="1:19" ht="15" customHeight="1" x14ac:dyDescent="0.25">
      <c r="A10" s="291">
        <f>'Precip. Máx. Probable'!M14</f>
        <v>500</v>
      </c>
      <c r="B10" s="291"/>
      <c r="C10" s="292">
        <f>'Regresiones I-D-T'!$D$325</f>
        <v>685.62751631905496</v>
      </c>
      <c r="D10" s="292"/>
      <c r="E10" s="292">
        <f>'Regresiones I-D-T'!$F$325</f>
        <v>-0.53752143701855903</v>
      </c>
      <c r="F10" s="292"/>
      <c r="G10" s="79"/>
      <c r="H10" s="79"/>
      <c r="I10" s="25"/>
      <c r="J10" s="19"/>
      <c r="K10" s="179"/>
      <c r="L10" s="19"/>
      <c r="M10" s="19"/>
      <c r="N10" s="19"/>
      <c r="O10" s="19"/>
      <c r="P10" s="164"/>
      <c r="Q10" s="19"/>
      <c r="R10" s="19"/>
    </row>
    <row r="11" spans="1:19" ht="15" customHeight="1" x14ac:dyDescent="0.25">
      <c r="A11" s="272" t="s">
        <v>81</v>
      </c>
      <c r="B11" s="272"/>
      <c r="C11" s="292">
        <f>AVERAGE(C4:D10)</f>
        <v>405.92385689784709</v>
      </c>
      <c r="D11" s="292"/>
      <c r="E11" s="292">
        <f>AVERAGE(E4:F10)</f>
        <v>-0.54001336592084281</v>
      </c>
      <c r="F11" s="292"/>
      <c r="G11" s="24"/>
      <c r="H11" s="24"/>
      <c r="I11" s="19"/>
      <c r="J11" s="19"/>
      <c r="K11" s="179"/>
      <c r="L11" s="19"/>
      <c r="M11" s="19"/>
      <c r="N11" s="19"/>
      <c r="O11" s="19"/>
      <c r="P11" s="164"/>
      <c r="Q11" s="19"/>
      <c r="R11" s="19"/>
    </row>
    <row r="12" spans="1:19" ht="15" customHeight="1" x14ac:dyDescent="0.25">
      <c r="A12" s="79"/>
      <c r="B12" s="19"/>
      <c r="C12" s="79"/>
      <c r="D12" s="79"/>
      <c r="E12" s="21"/>
      <c r="F12" s="21"/>
      <c r="G12" s="21"/>
      <c r="H12" s="21"/>
      <c r="I12" s="21"/>
      <c r="J12" s="19"/>
      <c r="K12" s="19"/>
      <c r="L12" s="19"/>
      <c r="M12" s="19"/>
      <c r="N12" s="19"/>
      <c r="O12" s="19"/>
      <c r="P12" s="19"/>
      <c r="Q12" s="164"/>
      <c r="R12" s="19"/>
      <c r="S12" s="19"/>
    </row>
    <row r="13" spans="1:19" ht="45" customHeight="1" x14ac:dyDescent="0.25">
      <c r="A13" s="293" t="s">
        <v>82</v>
      </c>
      <c r="B13" s="293"/>
      <c r="C13" s="293"/>
      <c r="D13" s="293"/>
      <c r="E13" s="293"/>
      <c r="F13" s="293"/>
      <c r="G13" s="293"/>
      <c r="H13" s="163"/>
      <c r="I13" s="163"/>
      <c r="J13" s="163"/>
      <c r="K13" s="19"/>
      <c r="L13" s="19"/>
      <c r="M13" s="19"/>
      <c r="N13" s="19"/>
      <c r="O13" s="19"/>
      <c r="P13" s="19"/>
      <c r="Q13" s="164"/>
      <c r="R13" s="19"/>
      <c r="S13" s="19"/>
    </row>
    <row r="14" spans="1:19" ht="15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64"/>
      <c r="R14" s="19"/>
      <c r="S14" s="19"/>
    </row>
    <row r="15" spans="1:19" ht="15" customHeight="1" thickBot="1" x14ac:dyDescent="0.3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64"/>
      <c r="R15" s="19"/>
      <c r="S15" s="19"/>
    </row>
    <row r="16" spans="1:19" ht="13.8" thickBot="1" x14ac:dyDescent="0.3">
      <c r="A16" s="287" t="s">
        <v>83</v>
      </c>
      <c r="B16" s="288"/>
      <c r="C16" s="288"/>
      <c r="D16" s="288"/>
      <c r="E16" s="288"/>
      <c r="F16" s="288"/>
      <c r="G16" s="289"/>
      <c r="H16" s="19"/>
      <c r="I16" s="19"/>
      <c r="J16" s="19"/>
      <c r="K16" s="19"/>
      <c r="L16" s="19"/>
      <c r="M16" s="19"/>
      <c r="N16" s="19"/>
      <c r="O16" s="19"/>
      <c r="P16" s="19"/>
      <c r="Q16" s="164"/>
      <c r="R16" s="19"/>
      <c r="S16" s="19"/>
    </row>
    <row r="17" spans="1:20" ht="13.8" thickBot="1" x14ac:dyDescent="0.3">
      <c r="A17" s="53" t="s">
        <v>37</v>
      </c>
      <c r="B17" s="165" t="s">
        <v>49</v>
      </c>
      <c r="C17" s="165" t="s">
        <v>48</v>
      </c>
      <c r="D17" s="165" t="s">
        <v>53</v>
      </c>
      <c r="E17" s="165" t="s">
        <v>52</v>
      </c>
      <c r="F17" s="165" t="s">
        <v>51</v>
      </c>
      <c r="G17" s="166" t="s">
        <v>50</v>
      </c>
      <c r="J17" s="19"/>
      <c r="K17" s="19"/>
      <c r="L17" s="19"/>
      <c r="M17" s="19"/>
      <c r="N17" s="19"/>
      <c r="O17" s="19"/>
      <c r="P17" s="19"/>
      <c r="Q17" s="164"/>
      <c r="R17" s="290"/>
      <c r="S17" s="290"/>
    </row>
    <row r="18" spans="1:20" x14ac:dyDescent="0.25">
      <c r="A18" s="167">
        <v>1</v>
      </c>
      <c r="B18" s="65">
        <f t="shared" ref="B18:B24" si="0">A4</f>
        <v>2</v>
      </c>
      <c r="C18" s="66">
        <f t="shared" ref="C18:C24" si="1">C4</f>
        <v>142.05988320144218</v>
      </c>
      <c r="D18" s="59">
        <f t="shared" ref="D18:E23" si="2">IF(A18="","",LN(B18))</f>
        <v>0.69314718055994529</v>
      </c>
      <c r="E18" s="59">
        <f t="shared" si="2"/>
        <v>4.9562486813916697</v>
      </c>
      <c r="F18" s="59">
        <f t="shared" ref="F18:F23" si="3">IF(A18="","",D18*E18)</f>
        <v>3.4354097996605826</v>
      </c>
      <c r="G18" s="60">
        <f t="shared" ref="G18:G24" si="4">IF(B18="","",D18^2)</f>
        <v>0.48045301391820139</v>
      </c>
      <c r="J18" s="19"/>
      <c r="K18" s="19"/>
      <c r="L18" s="19"/>
      <c r="M18" s="19"/>
      <c r="N18" s="19"/>
      <c r="O18" s="19"/>
      <c r="P18" s="19"/>
      <c r="Q18" s="164"/>
      <c r="S18" s="22" t="s">
        <v>49</v>
      </c>
      <c r="T18" s="22" t="s">
        <v>48</v>
      </c>
    </row>
    <row r="19" spans="1:20" x14ac:dyDescent="0.25">
      <c r="A19" s="52">
        <f t="shared" ref="A19:A24" si="5">A18+1</f>
        <v>2</v>
      </c>
      <c r="B19" s="67">
        <f t="shared" si="0"/>
        <v>5</v>
      </c>
      <c r="C19" s="56">
        <f t="shared" si="1"/>
        <v>247.427478023649</v>
      </c>
      <c r="D19" s="61">
        <f t="shared" si="2"/>
        <v>1.6094379124341003</v>
      </c>
      <c r="E19" s="61">
        <f t="shared" si="2"/>
        <v>5.5111175209842909</v>
      </c>
      <c r="F19" s="61">
        <f t="shared" si="3"/>
        <v>8.8698014781519507</v>
      </c>
      <c r="G19" s="62">
        <f t="shared" si="4"/>
        <v>2.5902903939802346</v>
      </c>
      <c r="J19" s="19"/>
      <c r="K19" s="19"/>
      <c r="L19" s="19"/>
      <c r="M19" s="19"/>
      <c r="N19" s="19"/>
      <c r="O19" s="19"/>
      <c r="P19" s="19"/>
      <c r="Q19" s="164"/>
      <c r="S19" s="168">
        <f t="shared" ref="S19:T25" si="6">B18</f>
        <v>2</v>
      </c>
      <c r="T19" s="169">
        <f t="shared" si="6"/>
        <v>142.05988320144218</v>
      </c>
    </row>
    <row r="20" spans="1:20" x14ac:dyDescent="0.25">
      <c r="A20" s="52">
        <f t="shared" si="5"/>
        <v>3</v>
      </c>
      <c r="B20" s="67">
        <f t="shared" si="0"/>
        <v>10</v>
      </c>
      <c r="C20" s="56">
        <f t="shared" si="1"/>
        <v>317.18999413289919</v>
      </c>
      <c r="D20" s="61">
        <f t="shared" si="2"/>
        <v>2.3025850929940459</v>
      </c>
      <c r="E20" s="61">
        <f t="shared" si="2"/>
        <v>5.7595009449154269</v>
      </c>
      <c r="F20" s="61">
        <f t="shared" si="3"/>
        <v>13.261741018847383</v>
      </c>
      <c r="G20" s="62">
        <f t="shared" si="4"/>
        <v>5.3018981104783993</v>
      </c>
      <c r="J20" s="19"/>
      <c r="K20" s="19"/>
      <c r="L20" s="19"/>
      <c r="M20" s="19"/>
      <c r="N20" s="19"/>
      <c r="O20" s="19"/>
      <c r="P20" s="19"/>
      <c r="Q20" s="164"/>
      <c r="S20" s="168">
        <f t="shared" si="6"/>
        <v>5</v>
      </c>
      <c r="T20" s="169">
        <f t="shared" si="6"/>
        <v>247.427478023649</v>
      </c>
    </row>
    <row r="21" spans="1:20" x14ac:dyDescent="0.25">
      <c r="A21" s="52">
        <f t="shared" si="5"/>
        <v>4</v>
      </c>
      <c r="B21" s="67">
        <f t="shared" si="0"/>
        <v>25</v>
      </c>
      <c r="C21" s="56">
        <f t="shared" si="1"/>
        <v>442.80146268190157</v>
      </c>
      <c r="D21" s="61">
        <f t="shared" si="2"/>
        <v>3.2188758248682006</v>
      </c>
      <c r="E21" s="61">
        <f t="shared" si="2"/>
        <v>6.093121504085353</v>
      </c>
      <c r="F21" s="61">
        <f t="shared" si="3"/>
        <v>19.613001507484913</v>
      </c>
      <c r="G21" s="62">
        <f t="shared" si="4"/>
        <v>10.361161575920939</v>
      </c>
      <c r="J21" s="19"/>
      <c r="K21" s="19"/>
      <c r="L21" s="19"/>
      <c r="M21" s="19"/>
      <c r="N21" s="19"/>
      <c r="O21" s="19"/>
      <c r="P21" s="19"/>
      <c r="Q21" s="164"/>
      <c r="S21" s="168">
        <f t="shared" si="6"/>
        <v>10</v>
      </c>
      <c r="T21" s="169">
        <f t="shared" si="6"/>
        <v>317.18999413289919</v>
      </c>
    </row>
    <row r="22" spans="1:20" x14ac:dyDescent="0.25">
      <c r="A22" s="52">
        <f t="shared" si="5"/>
        <v>5</v>
      </c>
      <c r="B22" s="67">
        <f t="shared" si="0"/>
        <v>50</v>
      </c>
      <c r="C22" s="56">
        <f t="shared" si="1"/>
        <v>470.7262065439387</v>
      </c>
      <c r="D22" s="61">
        <f t="shared" si="2"/>
        <v>3.912023005428146</v>
      </c>
      <c r="E22" s="61">
        <f t="shared" si="2"/>
        <v>6.1542766225401584</v>
      </c>
      <c r="F22" s="61">
        <f t="shared" si="3"/>
        <v>24.075671729145729</v>
      </c>
      <c r="G22" s="62">
        <f t="shared" si="4"/>
        <v>15.303923994999064</v>
      </c>
      <c r="J22" s="19"/>
      <c r="K22" s="19"/>
      <c r="L22" s="19"/>
      <c r="M22" s="19"/>
      <c r="N22" s="19"/>
      <c r="O22" s="19"/>
      <c r="P22" s="19"/>
      <c r="Q22" s="164"/>
      <c r="S22" s="168">
        <f t="shared" si="6"/>
        <v>25</v>
      </c>
      <c r="T22" s="169">
        <f t="shared" si="6"/>
        <v>442.80146268190157</v>
      </c>
    </row>
    <row r="23" spans="1:20" x14ac:dyDescent="0.25">
      <c r="A23" s="52">
        <f t="shared" si="5"/>
        <v>6</v>
      </c>
      <c r="B23" s="67">
        <f t="shared" si="0"/>
        <v>100</v>
      </c>
      <c r="C23" s="56">
        <f t="shared" si="1"/>
        <v>535.63445738204439</v>
      </c>
      <c r="D23" s="61">
        <f t="shared" si="2"/>
        <v>4.6051701859880918</v>
      </c>
      <c r="E23" s="61">
        <f t="shared" si="2"/>
        <v>6.2834519459187694</v>
      </c>
      <c r="F23" s="61">
        <f t="shared" si="3"/>
        <v>28.936365566433977</v>
      </c>
      <c r="G23" s="62">
        <f t="shared" si="4"/>
        <v>21.207592441913597</v>
      </c>
      <c r="J23" s="19"/>
      <c r="K23" s="19"/>
      <c r="L23" s="19"/>
      <c r="M23" s="19"/>
      <c r="N23" s="19"/>
      <c r="O23" s="19"/>
      <c r="P23" s="19"/>
      <c r="Q23" s="164"/>
      <c r="S23" s="168">
        <f t="shared" si="6"/>
        <v>50</v>
      </c>
      <c r="T23" s="169">
        <f t="shared" si="6"/>
        <v>470.7262065439387</v>
      </c>
    </row>
    <row r="24" spans="1:20" ht="13.8" thickBot="1" x14ac:dyDescent="0.3">
      <c r="A24" s="170">
        <f t="shared" si="5"/>
        <v>7</v>
      </c>
      <c r="B24" s="68">
        <f t="shared" si="0"/>
        <v>500</v>
      </c>
      <c r="C24" s="69">
        <f t="shared" si="1"/>
        <v>685.62751631905496</v>
      </c>
      <c r="D24" s="63">
        <f>IF(A24="","",LN(B24))</f>
        <v>6.2146080984221914</v>
      </c>
      <c r="E24" s="63">
        <f>IF(B24="","",LN(C24))</f>
        <v>6.5303345011325939</v>
      </c>
      <c r="F24" s="63">
        <f>IF(A24="","",D24*E24)</f>
        <v>40.58346967614446</v>
      </c>
      <c r="G24" s="64">
        <f t="shared" si="4"/>
        <v>38.621353816974683</v>
      </c>
      <c r="J24" s="19"/>
      <c r="K24" s="19"/>
      <c r="L24" s="19"/>
      <c r="M24" s="19"/>
      <c r="N24" s="19"/>
      <c r="O24" s="19"/>
      <c r="P24" s="19"/>
      <c r="Q24" s="164"/>
      <c r="S24" s="168">
        <f t="shared" si="6"/>
        <v>100</v>
      </c>
      <c r="T24" s="169">
        <f t="shared" si="6"/>
        <v>535.63445738204439</v>
      </c>
    </row>
    <row r="25" spans="1:20" ht="13.8" thickBot="1" x14ac:dyDescent="0.3">
      <c r="A25" s="53">
        <f>COUNT(A18:A24)</f>
        <v>7</v>
      </c>
      <c r="B25" s="54">
        <f t="shared" ref="B25:G25" si="7">SUM(B18:B24)</f>
        <v>692</v>
      </c>
      <c r="C25" s="55">
        <f t="shared" si="7"/>
        <v>2841.4669982849296</v>
      </c>
      <c r="D25" s="57">
        <f t="shared" si="7"/>
        <v>22.555847300694722</v>
      </c>
      <c r="E25" s="57">
        <f t="shared" si="7"/>
        <v>41.288051720968262</v>
      </c>
      <c r="F25" s="57">
        <f t="shared" si="7"/>
        <v>138.77546077586899</v>
      </c>
      <c r="G25" s="58">
        <f t="shared" si="7"/>
        <v>93.866673348185117</v>
      </c>
      <c r="J25" s="19"/>
      <c r="K25" s="19"/>
      <c r="L25" s="19"/>
      <c r="M25" s="19"/>
      <c r="N25" s="19"/>
      <c r="O25" s="19"/>
      <c r="P25" s="19"/>
      <c r="Q25" s="164"/>
      <c r="S25" s="168">
        <f t="shared" si="6"/>
        <v>500</v>
      </c>
      <c r="T25" s="169">
        <f t="shared" si="6"/>
        <v>685.62751631905496</v>
      </c>
    </row>
    <row r="26" spans="1:20" ht="13.8" thickBot="1" x14ac:dyDescent="0.3">
      <c r="A26" s="171" t="s">
        <v>103</v>
      </c>
      <c r="B26" s="172">
        <f>((F25*D25)-(G25*E25))/((D25^2)-(G25*A25))</f>
        <v>5.0261066732335689</v>
      </c>
      <c r="C26" s="173" t="s">
        <v>104</v>
      </c>
      <c r="D26" s="174">
        <f>EXP(B26)</f>
        <v>152.33875207984642</v>
      </c>
      <c r="E26" s="175" t="s">
        <v>105</v>
      </c>
      <c r="F26" s="172">
        <f>(E25-(A25*B26))/D25</f>
        <v>0.27067504611743126</v>
      </c>
      <c r="G26" s="70"/>
      <c r="J26" s="19"/>
      <c r="K26" s="19"/>
      <c r="L26" s="19"/>
      <c r="M26" s="19"/>
      <c r="N26" s="19"/>
      <c r="O26" s="19"/>
      <c r="P26" s="19"/>
      <c r="Q26" s="164"/>
      <c r="R26" s="19"/>
      <c r="S26" s="19"/>
    </row>
    <row r="27" spans="1:20" x14ac:dyDescent="0.25">
      <c r="A27" s="24"/>
      <c r="B27" s="19"/>
      <c r="J27" s="19"/>
      <c r="K27" s="19"/>
      <c r="L27" s="19"/>
      <c r="M27" s="19"/>
      <c r="N27" s="19"/>
      <c r="O27" s="19"/>
      <c r="P27" s="19"/>
      <c r="Q27" s="164"/>
      <c r="R27" s="19"/>
      <c r="S27" s="19"/>
    </row>
    <row r="28" spans="1:20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64"/>
      <c r="R28" s="19"/>
      <c r="S28" s="19"/>
    </row>
    <row r="29" spans="1:20" x14ac:dyDescent="0.25">
      <c r="A29" s="19"/>
      <c r="B29" s="176"/>
      <c r="C29" s="176"/>
      <c r="D29" s="176" t="s">
        <v>106</v>
      </c>
      <c r="E29" s="177">
        <f>D26</f>
        <v>152.33875207984642</v>
      </c>
      <c r="F29" s="20"/>
      <c r="G29" s="27"/>
      <c r="H29" s="19"/>
      <c r="I29" s="19"/>
      <c r="J29" s="19"/>
      <c r="K29" s="19"/>
      <c r="L29" s="19"/>
      <c r="M29" s="19"/>
      <c r="N29" s="19"/>
      <c r="O29" s="19"/>
      <c r="P29" s="19"/>
      <c r="Q29" s="164"/>
      <c r="R29" s="19"/>
      <c r="S29" s="19"/>
    </row>
    <row r="30" spans="1:20" x14ac:dyDescent="0.25">
      <c r="A30" s="19"/>
      <c r="B30" s="176"/>
      <c r="C30" s="176"/>
      <c r="D30" s="176" t="s">
        <v>107</v>
      </c>
      <c r="E30" s="178">
        <f>F26</f>
        <v>0.27067504611743126</v>
      </c>
      <c r="F30" s="28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64"/>
      <c r="R30" s="19"/>
      <c r="S30" s="19"/>
    </row>
    <row r="31" spans="1:20" x14ac:dyDescent="0.25">
      <c r="A31" s="19"/>
      <c r="B31" s="19"/>
      <c r="C31" s="19"/>
      <c r="D31" s="26"/>
      <c r="E31" s="29"/>
      <c r="F31" s="2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64"/>
      <c r="R31" s="19"/>
      <c r="S31" s="19"/>
    </row>
  </sheetData>
  <mergeCells count="42">
    <mergeCell ref="A1:F1"/>
    <mergeCell ref="A2:B2"/>
    <mergeCell ref="C2:D2"/>
    <mergeCell ref="E2:F2"/>
    <mergeCell ref="G2:H2"/>
    <mergeCell ref="A3:B3"/>
    <mergeCell ref="C3:D3"/>
    <mergeCell ref="E3:F3"/>
    <mergeCell ref="G3:H3"/>
    <mergeCell ref="A4:B4"/>
    <mergeCell ref="C4:D4"/>
    <mergeCell ref="E4:F4"/>
    <mergeCell ref="G4:H4"/>
    <mergeCell ref="A5:B5"/>
    <mergeCell ref="C5:D5"/>
    <mergeCell ref="E5:F5"/>
    <mergeCell ref="G5:H5"/>
    <mergeCell ref="A6:B6"/>
    <mergeCell ref="C6:D6"/>
    <mergeCell ref="E6:F6"/>
    <mergeCell ref="G6:H6"/>
    <mergeCell ref="A7:B7"/>
    <mergeCell ref="C7:D7"/>
    <mergeCell ref="E7:F7"/>
    <mergeCell ref="G7:H7"/>
    <mergeCell ref="A8:B8"/>
    <mergeCell ref="C8:D8"/>
    <mergeCell ref="E8:F8"/>
    <mergeCell ref="G8:H8"/>
    <mergeCell ref="A9:B9"/>
    <mergeCell ref="C9:D9"/>
    <mergeCell ref="E9:F9"/>
    <mergeCell ref="G9:H9"/>
    <mergeCell ref="A13:G13"/>
    <mergeCell ref="A16:G16"/>
    <mergeCell ref="R17:S17"/>
    <mergeCell ref="A10:B10"/>
    <mergeCell ref="C10:D10"/>
    <mergeCell ref="E10:F10"/>
    <mergeCell ref="A11:B11"/>
    <mergeCell ref="C11:D11"/>
    <mergeCell ref="E11:F11"/>
  </mergeCells>
  <printOptions horizontalCentered="1"/>
  <pageMargins left="0.78740157480314965" right="0.78740157480314965" top="0.78740157480314965" bottom="0.78740157480314965" header="0" footer="0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20481" r:id="rId4">
          <objectPr defaultSize="0" autoPict="0" r:id="rId5">
            <anchor moveWithCells="1" sizeWithCells="1">
              <from>
                <xdr:col>6</xdr:col>
                <xdr:colOff>175260</xdr:colOff>
                <xdr:row>12</xdr:row>
                <xdr:rowOff>0</xdr:rowOff>
              </from>
              <to>
                <xdr:col>7</xdr:col>
                <xdr:colOff>312420</xdr:colOff>
                <xdr:row>12</xdr:row>
                <xdr:rowOff>0</xdr:rowOff>
              </to>
            </anchor>
          </objectPr>
        </oleObject>
      </mc:Choice>
      <mc:Fallback>
        <oleObject progId="Equation.3" shapeId="20481" r:id="rId4"/>
      </mc:Fallback>
    </mc:AlternateContent>
    <mc:AlternateContent xmlns:mc="http://schemas.openxmlformats.org/markup-compatibility/2006">
      <mc:Choice Requires="x14">
        <oleObject progId="Equation.3" shapeId="20482" r:id="rId6">
          <objectPr defaultSize="0" autoPict="0" r:id="rId7">
            <anchor moveWithCells="1" sizeWithCells="1">
              <from>
                <xdr:col>6</xdr:col>
                <xdr:colOff>137160</xdr:colOff>
                <xdr:row>12</xdr:row>
                <xdr:rowOff>0</xdr:rowOff>
              </from>
              <to>
                <xdr:col>7</xdr:col>
                <xdr:colOff>274320</xdr:colOff>
                <xdr:row>12</xdr:row>
                <xdr:rowOff>0</xdr:rowOff>
              </to>
            </anchor>
          </objectPr>
        </oleObject>
      </mc:Choice>
      <mc:Fallback>
        <oleObject progId="Equation.3" shapeId="20482" r:id="rId6"/>
      </mc:Fallback>
    </mc:AlternateContent>
    <mc:AlternateContent xmlns:mc="http://schemas.openxmlformats.org/markup-compatibility/2006">
      <mc:Choice Requires="x14">
        <oleObject progId="Equation.3" shapeId="20483" r:id="rId8">
          <objectPr defaultSize="0" autoPict="0" r:id="rId9">
            <anchor moveWithCells="1" sizeWithCells="1">
              <from>
                <xdr:col>0</xdr:col>
                <xdr:colOff>563880</xdr:colOff>
                <xdr:row>13</xdr:row>
                <xdr:rowOff>0</xdr:rowOff>
              </from>
              <to>
                <xdr:col>2</xdr:col>
                <xdr:colOff>99060</xdr:colOff>
                <xdr:row>14</xdr:row>
                <xdr:rowOff>144780</xdr:rowOff>
              </to>
            </anchor>
          </objectPr>
        </oleObject>
      </mc:Choice>
      <mc:Fallback>
        <oleObject progId="Equation.3" shapeId="20483" r:id="rId8"/>
      </mc:Fallback>
    </mc:AlternateContent>
  </oleObjec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M49"/>
  <sheetViews>
    <sheetView tabSelected="1" view="pageBreakPreview" topLeftCell="A47" zoomScaleNormal="100" zoomScaleSheetLayoutView="100" workbookViewId="0">
      <selection activeCell="M13" sqref="M13"/>
    </sheetView>
  </sheetViews>
  <sheetFormatPr baseColWidth="10" defaultColWidth="11.44140625" defaultRowHeight="14.4" x14ac:dyDescent="0.3"/>
  <cols>
    <col min="1" max="1" width="11.44140625" style="89" customWidth="1"/>
    <col min="2" max="13" width="9" style="89" customWidth="1"/>
    <col min="14" max="16384" width="11.44140625" style="89"/>
  </cols>
  <sheetData>
    <row r="1" spans="1:13" ht="15" customHeight="1" thickBot="1" x14ac:dyDescent="0.35">
      <c r="A1" s="180" t="s">
        <v>99</v>
      </c>
      <c r="B1" s="90"/>
      <c r="C1" s="90"/>
      <c r="D1" s="90"/>
      <c r="E1" s="90"/>
      <c r="F1" s="90"/>
      <c r="G1" s="90"/>
      <c r="H1" s="90"/>
    </row>
    <row r="2" spans="1:13" ht="15" customHeight="1" thickTop="1" x14ac:dyDescent="0.3">
      <c r="A2" s="90"/>
      <c r="B2" s="181"/>
      <c r="C2" s="181"/>
      <c r="D2" s="182"/>
      <c r="E2" s="183"/>
      <c r="F2" s="310">
        <f>'Cte. Regresión Cuenca'!F26</f>
        <v>0.27067504611743126</v>
      </c>
      <c r="G2" s="311"/>
      <c r="H2" s="181"/>
      <c r="I2" s="198" t="s">
        <v>87</v>
      </c>
      <c r="J2" s="92"/>
      <c r="K2" s="90"/>
    </row>
    <row r="3" spans="1:13" ht="15" customHeight="1" x14ac:dyDescent="0.3">
      <c r="A3" s="90"/>
      <c r="B3" s="181"/>
      <c r="C3" s="181"/>
      <c r="D3" s="312" t="s">
        <v>74</v>
      </c>
      <c r="E3" s="184">
        <f>'Cte. Regresión Cuenca'!D26</f>
        <v>152.33875207984642</v>
      </c>
      <c r="F3" s="185" t="s">
        <v>84</v>
      </c>
      <c r="G3" s="186" t="s">
        <v>85</v>
      </c>
      <c r="H3" s="181"/>
      <c r="I3" s="92" t="s">
        <v>88</v>
      </c>
      <c r="K3" s="90"/>
    </row>
    <row r="4" spans="1:13" ht="15" customHeight="1" x14ac:dyDescent="0.3">
      <c r="A4" s="90"/>
      <c r="B4" s="181"/>
      <c r="C4" s="181"/>
      <c r="D4" s="312"/>
      <c r="E4" s="110"/>
      <c r="F4" s="187">
        <f>'Cte. Regresión Cuenca'!E11*-1</f>
        <v>0.54001336592084281</v>
      </c>
      <c r="G4" s="186"/>
      <c r="H4" s="181"/>
      <c r="I4" s="92" t="s">
        <v>89</v>
      </c>
      <c r="K4" s="90"/>
    </row>
    <row r="5" spans="1:13" ht="15" customHeight="1" thickBot="1" x14ac:dyDescent="0.35">
      <c r="A5" s="90"/>
      <c r="B5" s="90"/>
      <c r="C5" s="181"/>
      <c r="D5" s="188"/>
      <c r="E5" s="313" t="s">
        <v>86</v>
      </c>
      <c r="F5" s="313"/>
      <c r="G5" s="189"/>
      <c r="H5" s="90"/>
      <c r="I5" s="92" t="s">
        <v>90</v>
      </c>
      <c r="K5" s="90"/>
    </row>
    <row r="6" spans="1:13" ht="15" customHeight="1" thickTop="1" thickBot="1" x14ac:dyDescent="0.35">
      <c r="A6" s="90"/>
      <c r="B6" s="90"/>
      <c r="C6" s="90"/>
      <c r="D6" s="90"/>
      <c r="E6" s="90"/>
      <c r="F6" s="90"/>
      <c r="G6" s="90"/>
      <c r="H6" s="90"/>
    </row>
    <row r="7" spans="1:13" ht="15" customHeight="1" thickBot="1" x14ac:dyDescent="0.35">
      <c r="A7" s="304" t="s">
        <v>94</v>
      </c>
      <c r="B7" s="305"/>
      <c r="C7" s="305"/>
      <c r="D7" s="305"/>
      <c r="E7" s="305"/>
      <c r="F7" s="305"/>
      <c r="G7" s="305"/>
      <c r="H7" s="305"/>
      <c r="I7" s="305"/>
      <c r="J7" s="305"/>
      <c r="K7" s="305"/>
      <c r="L7" s="305"/>
      <c r="M7" s="306"/>
    </row>
    <row r="8" spans="1:13" ht="15" customHeight="1" x14ac:dyDescent="0.3">
      <c r="A8" s="71" t="s">
        <v>91</v>
      </c>
      <c r="B8" s="307" t="s">
        <v>92</v>
      </c>
      <c r="C8" s="308"/>
      <c r="D8" s="308"/>
      <c r="E8" s="308"/>
      <c r="F8" s="308"/>
      <c r="G8" s="308"/>
      <c r="H8" s="308"/>
      <c r="I8" s="308"/>
      <c r="J8" s="308"/>
      <c r="K8" s="308"/>
      <c r="L8" s="308"/>
      <c r="M8" s="309"/>
    </row>
    <row r="9" spans="1:13" ht="15" customHeight="1" thickBot="1" x14ac:dyDescent="0.35">
      <c r="A9" s="72" t="s">
        <v>93</v>
      </c>
      <c r="B9" s="73">
        <v>5</v>
      </c>
      <c r="C9" s="74">
        <v>10</v>
      </c>
      <c r="D9" s="74">
        <v>15</v>
      </c>
      <c r="E9" s="74">
        <v>20</v>
      </c>
      <c r="F9" s="74">
        <v>25</v>
      </c>
      <c r="G9" s="74">
        <v>30</v>
      </c>
      <c r="H9" s="74">
        <v>35</v>
      </c>
      <c r="I9" s="74">
        <v>40</v>
      </c>
      <c r="J9" s="74">
        <v>45</v>
      </c>
      <c r="K9" s="74">
        <v>50</v>
      </c>
      <c r="L9" s="74">
        <v>55</v>
      </c>
      <c r="M9" s="75">
        <v>60</v>
      </c>
    </row>
    <row r="10" spans="1:13" ht="15" customHeight="1" x14ac:dyDescent="0.3">
      <c r="A10" s="76">
        <v>2</v>
      </c>
      <c r="B10" s="252">
        <f t="shared" ref="B10:B16" si="0">($E$3*POWER(A10,$F$2))/(POWER($B$9,$F$4))</f>
        <v>77.06169493527959</v>
      </c>
      <c r="C10" s="253">
        <f t="shared" ref="C10:C16" si="1">($E$3*POWER(A10,$F$2))/(POWER($C$9,$F$4))</f>
        <v>53.000300953871175</v>
      </c>
      <c r="D10" s="253">
        <f t="shared" ref="D10:D16" si="2">($E$3*POWER(A10,$F$2))/(POWER($D$9,$F$4))</f>
        <v>42.578141621664756</v>
      </c>
      <c r="E10" s="253">
        <f t="shared" ref="E10:E16" si="3">($E$3*POWER(A10,$F$2))/(POWER($E$9,$F$4))</f>
        <v>36.451727457592121</v>
      </c>
      <c r="F10" s="253">
        <f t="shared" ref="F10:F16" si="4">($E$3*POWER(A10,$F$2))/(POWER($F$9,$F$4))</f>
        <v>32.313605021116601</v>
      </c>
      <c r="G10" s="253">
        <f t="shared" ref="G10:G16" si="5">($E$3*POWER(A10,$F$2))/(POWER($G$9,$F$4))</f>
        <v>29.283735867736059</v>
      </c>
      <c r="H10" s="253">
        <f t="shared" ref="H10:H16" si="6">($E$3*POWER(A10,$F$2))/(POWER($H$9,$F$4))</f>
        <v>26.944760007539418</v>
      </c>
      <c r="I10" s="253">
        <f t="shared" ref="I10:I16" si="7">($E$3*POWER(A10,$F$2))/(POWER($I$9,$F$4))</f>
        <v>25.070205465418667</v>
      </c>
      <c r="J10" s="253">
        <f t="shared" ref="J10:J16" si="8">($E$3*POWER(A10,$F$2))/(POWER($J$9,$F$4))</f>
        <v>23.525282508736758</v>
      </c>
      <c r="K10" s="253">
        <f t="shared" ref="K10:K16" si="9">($E$3*POWER(A10,$F$2))/(POWER($K$9,$F$4))</f>
        <v>22.22415160297291</v>
      </c>
      <c r="L10" s="253">
        <f t="shared" ref="L10:L16" si="10">($E$3*POWER(A10,$F$2))/(POWER($L$9,$F$4))</f>
        <v>21.109239519908584</v>
      </c>
      <c r="M10" s="254">
        <f t="shared" ref="M10:M16" si="11">($E$3*POWER(A10,$F$2))/(POWER($M$9,$F$4))</f>
        <v>20.140315046887732</v>
      </c>
    </row>
    <row r="11" spans="1:13" ht="15" customHeight="1" x14ac:dyDescent="0.3">
      <c r="A11" s="77">
        <v>5</v>
      </c>
      <c r="B11" s="255">
        <f t="shared" si="0"/>
        <v>98.753156721534964</v>
      </c>
      <c r="C11" s="256">
        <f t="shared" si="1"/>
        <v>67.918919130728952</v>
      </c>
      <c r="D11" s="256">
        <f t="shared" si="2"/>
        <v>54.563112010543207</v>
      </c>
      <c r="E11" s="256">
        <f t="shared" si="3"/>
        <v>46.712223983828906</v>
      </c>
      <c r="F11" s="256">
        <f t="shared" si="4"/>
        <v>41.409295546485623</v>
      </c>
      <c r="G11" s="256">
        <f t="shared" si="5"/>
        <v>37.526573480732665</v>
      </c>
      <c r="H11" s="256">
        <f t="shared" si="6"/>
        <v>34.52921857069758</v>
      </c>
      <c r="I11" s="256">
        <f t="shared" si="7"/>
        <v>32.127011110342764</v>
      </c>
      <c r="J11" s="256">
        <f t="shared" si="8"/>
        <v>30.147220515391037</v>
      </c>
      <c r="K11" s="256">
        <f t="shared" si="9"/>
        <v>28.47984498776939</v>
      </c>
      <c r="L11" s="256">
        <f t="shared" si="10"/>
        <v>27.05110548545176</v>
      </c>
      <c r="M11" s="257">
        <f t="shared" si="11"/>
        <v>25.809446443097194</v>
      </c>
    </row>
    <row r="12" spans="1:13" ht="15" customHeight="1" x14ac:dyDescent="0.3">
      <c r="A12" s="77">
        <v>10</v>
      </c>
      <c r="B12" s="255">
        <f t="shared" si="0"/>
        <v>119.13305945536798</v>
      </c>
      <c r="C12" s="256">
        <f t="shared" si="1"/>
        <v>81.935493502872333</v>
      </c>
      <c r="D12" s="256">
        <f t="shared" si="2"/>
        <v>65.823419554591737</v>
      </c>
      <c r="E12" s="256">
        <f t="shared" si="3"/>
        <v>56.352326770172098</v>
      </c>
      <c r="F12" s="256">
        <f t="shared" si="4"/>
        <v>49.9550215114146</v>
      </c>
      <c r="G12" s="256">
        <f t="shared" si="5"/>
        <v>45.271013687620687</v>
      </c>
      <c r="H12" s="256">
        <f t="shared" si="6"/>
        <v>41.655088156116335</v>
      </c>
      <c r="I12" s="256">
        <f t="shared" si="7"/>
        <v>38.75713194186023</v>
      </c>
      <c r="J12" s="256">
        <f t="shared" si="8"/>
        <v>36.368767675970098</v>
      </c>
      <c r="K12" s="256">
        <f t="shared" si="9"/>
        <v>34.357292251172275</v>
      </c>
      <c r="L12" s="256">
        <f t="shared" si="10"/>
        <v>32.633700684820639</v>
      </c>
      <c r="M12" s="257">
        <f>($E$3*POWER(A12,$F$2))/(POWER($M$9,$F$4))</f>
        <v>31.135797777947136</v>
      </c>
    </row>
    <row r="13" spans="1:13" ht="15" customHeight="1" x14ac:dyDescent="0.3">
      <c r="A13" s="77">
        <v>25</v>
      </c>
      <c r="B13" s="255">
        <f t="shared" si="0"/>
        <v>152.66684311826458</v>
      </c>
      <c r="C13" s="256">
        <f t="shared" si="1"/>
        <v>104.99884070472402</v>
      </c>
      <c r="D13" s="256">
        <f t="shared" si="2"/>
        <v>84.351511768346242</v>
      </c>
      <c r="E13" s="256">
        <f t="shared" si="3"/>
        <v>72.214479084994238</v>
      </c>
      <c r="F13" s="256">
        <f t="shared" si="4"/>
        <v>64.01644906055526</v>
      </c>
      <c r="G13" s="256">
        <f t="shared" si="5"/>
        <v>58.013978454419501</v>
      </c>
      <c r="H13" s="256">
        <f t="shared" si="6"/>
        <v>53.38023582773647</v>
      </c>
      <c r="I13" s="256">
        <f t="shared" si="7"/>
        <v>49.666557787837014</v>
      </c>
      <c r="J13" s="256">
        <f t="shared" si="8"/>
        <v>46.605912536578941</v>
      </c>
      <c r="K13" s="256">
        <f t="shared" si="9"/>
        <v>44.028243462035448</v>
      </c>
      <c r="L13" s="256">
        <f t="shared" si="10"/>
        <v>41.819492302087689</v>
      </c>
      <c r="M13" s="258">
        <f t="shared" si="11"/>
        <v>39.899957043482814</v>
      </c>
    </row>
    <row r="14" spans="1:13" ht="15" hidden="1" customHeight="1" x14ac:dyDescent="0.3">
      <c r="A14" s="77">
        <v>50</v>
      </c>
      <c r="B14" s="192">
        <f t="shared" si="0"/>
        <v>184.17303002634441</v>
      </c>
      <c r="C14" s="193">
        <f t="shared" si="1"/>
        <v>126.66767876284825</v>
      </c>
      <c r="D14" s="193">
        <f t="shared" si="2"/>
        <v>101.75931585645387</v>
      </c>
      <c r="E14" s="193">
        <f t="shared" si="3"/>
        <v>87.117537463943904</v>
      </c>
      <c r="F14" s="193">
        <f t="shared" si="4"/>
        <v>77.227662236234835</v>
      </c>
      <c r="G14" s="193">
        <f t="shared" si="5"/>
        <v>69.986448776939611</v>
      </c>
      <c r="H14" s="193">
        <f t="shared" si="6"/>
        <v>64.396430653244309</v>
      </c>
      <c r="I14" s="193">
        <f t="shared" si="7"/>
        <v>59.916352836866437</v>
      </c>
      <c r="J14" s="193">
        <f t="shared" si="8"/>
        <v>56.22407559940973</v>
      </c>
      <c r="K14" s="193">
        <f t="shared" si="9"/>
        <v>53.114447377804865</v>
      </c>
      <c r="L14" s="193">
        <f t="shared" si="10"/>
        <v>50.449871459465768</v>
      </c>
      <c r="M14" s="194">
        <f t="shared" si="11"/>
        <v>48.134197554125365</v>
      </c>
    </row>
    <row r="15" spans="1:13" ht="15" hidden="1" customHeight="1" x14ac:dyDescent="0.3">
      <c r="A15" s="77">
        <v>100</v>
      </c>
      <c r="B15" s="192">
        <f t="shared" si="0"/>
        <v>222.18121693135811</v>
      </c>
      <c r="C15" s="193">
        <f t="shared" si="1"/>
        <v>152.80836183981077</v>
      </c>
      <c r="D15" s="193">
        <f t="shared" si="2"/>
        <v>122.75960615870487</v>
      </c>
      <c r="E15" s="193">
        <f t="shared" si="3"/>
        <v>105.09617226275499</v>
      </c>
      <c r="F15" s="193">
        <f t="shared" si="4"/>
        <v>93.165302074664027</v>
      </c>
      <c r="G15" s="193">
        <f t="shared" si="5"/>
        <v>84.42970371796757</v>
      </c>
      <c r="H15" s="193">
        <f t="shared" si="6"/>
        <v>77.686061452792742</v>
      </c>
      <c r="I15" s="193">
        <f t="shared" si="7"/>
        <v>72.281420278959445</v>
      </c>
      <c r="J15" s="193">
        <f t="shared" si="8"/>
        <v>67.827159794952962</v>
      </c>
      <c r="K15" s="193">
        <f t="shared" si="9"/>
        <v>64.075790865520489</v>
      </c>
      <c r="L15" s="193">
        <f t="shared" si="10"/>
        <v>60.861320646629643</v>
      </c>
      <c r="M15" s="194">
        <f t="shared" si="11"/>
        <v>58.067756104464451</v>
      </c>
    </row>
    <row r="16" spans="1:13" ht="15" hidden="1" customHeight="1" thickBot="1" x14ac:dyDescent="0.35">
      <c r="A16" s="78">
        <v>500</v>
      </c>
      <c r="B16" s="195">
        <f t="shared" si="0"/>
        <v>343.47970348666263</v>
      </c>
      <c r="C16" s="196">
        <f t="shared" si="1"/>
        <v>236.2331593099355</v>
      </c>
      <c r="D16" s="196">
        <f t="shared" si="2"/>
        <v>189.77946788615463</v>
      </c>
      <c r="E16" s="196">
        <f t="shared" si="3"/>
        <v>162.47278948673119</v>
      </c>
      <c r="F16" s="196">
        <f t="shared" si="4"/>
        <v>144.02833314994999</v>
      </c>
      <c r="G16" s="196">
        <f t="shared" si="5"/>
        <v>130.5235879029039</v>
      </c>
      <c r="H16" s="196">
        <f t="shared" si="6"/>
        <v>120.09829508268324</v>
      </c>
      <c r="I16" s="196">
        <f t="shared" si="7"/>
        <v>111.74302287075007</v>
      </c>
      <c r="J16" s="196">
        <f t="shared" si="8"/>
        <v>104.8569859166381</v>
      </c>
      <c r="K16" s="196">
        <f t="shared" si="9"/>
        <v>99.057579894172065</v>
      </c>
      <c r="L16" s="196">
        <f t="shared" si="10"/>
        <v>94.088189173837506</v>
      </c>
      <c r="M16" s="197">
        <f t="shared" si="11"/>
        <v>89.769495029182607</v>
      </c>
    </row>
    <row r="17" spans="1:13" x14ac:dyDescent="0.3">
      <c r="J17" s="90"/>
      <c r="K17" s="90"/>
      <c r="L17" s="91"/>
      <c r="M17" s="91"/>
    </row>
    <row r="18" spans="1:13" x14ac:dyDescent="0.3">
      <c r="J18" s="90"/>
      <c r="K18" s="90"/>
      <c r="L18" s="91"/>
      <c r="M18" s="91"/>
    </row>
    <row r="19" spans="1:13" x14ac:dyDescent="0.3">
      <c r="J19" s="90"/>
      <c r="K19" s="90"/>
      <c r="L19" s="91"/>
      <c r="M19" s="91"/>
    </row>
    <row r="20" spans="1:13" x14ac:dyDescent="0.3">
      <c r="J20" s="90"/>
      <c r="K20" s="90"/>
      <c r="L20" s="91"/>
      <c r="M20" s="91"/>
    </row>
    <row r="21" spans="1:13" x14ac:dyDescent="0.3">
      <c r="J21" s="90"/>
      <c r="K21" s="90"/>
      <c r="L21" s="91"/>
      <c r="M21" s="91"/>
    </row>
    <row r="22" spans="1:13" x14ac:dyDescent="0.3">
      <c r="J22" s="90"/>
      <c r="K22" s="90"/>
      <c r="L22" s="91"/>
      <c r="M22" s="91"/>
    </row>
    <row r="23" spans="1:13" x14ac:dyDescent="0.3">
      <c r="J23" s="90"/>
      <c r="K23" s="90"/>
      <c r="L23" s="91"/>
      <c r="M23" s="91"/>
    </row>
    <row r="24" spans="1:13" x14ac:dyDescent="0.3">
      <c r="J24" s="90"/>
      <c r="K24" s="90"/>
      <c r="L24" s="91"/>
      <c r="M24" s="91"/>
    </row>
    <row r="25" spans="1:13" x14ac:dyDescent="0.3">
      <c r="J25" s="90"/>
      <c r="K25" s="90"/>
      <c r="L25" s="91"/>
      <c r="M25" s="91"/>
    </row>
    <row r="26" spans="1:13" x14ac:dyDescent="0.3">
      <c r="A26" s="91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</row>
    <row r="27" spans="1:13" x14ac:dyDescent="0.3">
      <c r="A27" s="91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</row>
    <row r="28" spans="1:13" x14ac:dyDescent="0.3">
      <c r="A28" s="91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</row>
    <row r="29" spans="1:13" x14ac:dyDescent="0.3">
      <c r="A29" s="91"/>
      <c r="B29" s="91"/>
      <c r="C29" s="91"/>
      <c r="D29" s="91"/>
      <c r="E29" s="91"/>
      <c r="F29" s="91"/>
      <c r="G29" s="91"/>
      <c r="H29" s="91"/>
      <c r="I29" s="91"/>
      <c r="J29" s="91"/>
      <c r="K29" s="91"/>
      <c r="L29" s="91"/>
      <c r="M29" s="91"/>
    </row>
    <row r="30" spans="1:13" x14ac:dyDescent="0.3">
      <c r="A30" s="91"/>
      <c r="B30" s="91"/>
      <c r="C30" s="91"/>
      <c r="D30" s="91"/>
      <c r="E30" s="91"/>
      <c r="F30" s="91"/>
      <c r="G30" s="91"/>
      <c r="H30" s="91"/>
      <c r="I30" s="91"/>
      <c r="J30" s="91"/>
      <c r="K30" s="91"/>
      <c r="L30" s="91"/>
      <c r="M30" s="91"/>
    </row>
    <row r="31" spans="1:13" x14ac:dyDescent="0.3">
      <c r="A31" s="91"/>
      <c r="B31" s="91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</row>
    <row r="32" spans="1:13" x14ac:dyDescent="0.3">
      <c r="A32" s="91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</row>
    <row r="33" spans="1:13" x14ac:dyDescent="0.3">
      <c r="A33" s="91"/>
      <c r="B33" s="91"/>
      <c r="C33" s="91"/>
      <c r="D33" s="91"/>
      <c r="E33" s="91"/>
      <c r="F33" s="91"/>
      <c r="G33" s="91"/>
      <c r="H33" s="91"/>
      <c r="I33" s="91"/>
      <c r="J33" s="91"/>
      <c r="K33" s="91"/>
      <c r="L33" s="91"/>
      <c r="M33" s="91"/>
    </row>
    <row r="34" spans="1:13" x14ac:dyDescent="0.3">
      <c r="A34" s="91"/>
      <c r="B34" s="91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</row>
    <row r="35" spans="1:13" x14ac:dyDescent="0.3">
      <c r="A35" s="91"/>
      <c r="B35" s="91"/>
      <c r="C35" s="91"/>
      <c r="D35" s="91"/>
      <c r="E35" s="91"/>
      <c r="F35" s="91"/>
      <c r="G35" s="91"/>
      <c r="H35" s="91"/>
      <c r="I35" s="91"/>
      <c r="J35" s="91"/>
      <c r="K35" s="91"/>
      <c r="L35" s="91"/>
      <c r="M35" s="91"/>
    </row>
    <row r="36" spans="1:13" x14ac:dyDescent="0.3">
      <c r="A36" s="91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190"/>
      <c r="M36" s="91"/>
    </row>
    <row r="37" spans="1:13" x14ac:dyDescent="0.3">
      <c r="A37" s="91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</row>
    <row r="38" spans="1:13" x14ac:dyDescent="0.3">
      <c r="A38" s="91"/>
      <c r="B38" s="91"/>
      <c r="C38" s="91"/>
      <c r="D38" s="91"/>
      <c r="E38" s="91"/>
      <c r="F38" s="191"/>
      <c r="G38" s="91"/>
      <c r="H38" s="91"/>
      <c r="I38" s="91"/>
      <c r="J38" s="91"/>
      <c r="K38" s="91"/>
      <c r="L38" s="91"/>
      <c r="M38" s="91"/>
    </row>
    <row r="39" spans="1:13" x14ac:dyDescent="0.3">
      <c r="A39" s="91"/>
      <c r="B39" s="91"/>
      <c r="C39" s="91"/>
      <c r="D39" s="91"/>
      <c r="E39" s="91"/>
      <c r="F39" s="91"/>
      <c r="G39" s="91"/>
      <c r="H39" s="91"/>
      <c r="I39" s="91"/>
      <c r="J39" s="91"/>
      <c r="K39" s="91"/>
      <c r="L39" s="91"/>
      <c r="M39" s="91"/>
    </row>
    <row r="40" spans="1:13" x14ac:dyDescent="0.3">
      <c r="A40" s="91"/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</row>
    <row r="41" spans="1:13" x14ac:dyDescent="0.3">
      <c r="A41" s="91"/>
      <c r="B41" s="91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</row>
    <row r="42" spans="1:13" x14ac:dyDescent="0.3">
      <c r="A42" s="91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91"/>
      <c r="M42" s="91"/>
    </row>
    <row r="43" spans="1:13" x14ac:dyDescent="0.3">
      <c r="A43" s="91"/>
      <c r="B43" s="91"/>
      <c r="C43" s="91"/>
      <c r="D43" s="91"/>
      <c r="E43" s="91"/>
      <c r="F43" s="91"/>
      <c r="G43" s="91"/>
      <c r="H43" s="91"/>
      <c r="I43" s="91"/>
      <c r="J43" s="91"/>
      <c r="K43" s="91"/>
      <c r="L43" s="91"/>
      <c r="M43" s="91"/>
    </row>
    <row r="44" spans="1:13" x14ac:dyDescent="0.3">
      <c r="A44" s="91"/>
      <c r="B44" s="91"/>
      <c r="C44" s="91"/>
      <c r="D44" s="91"/>
      <c r="E44" s="91"/>
      <c r="F44" s="91"/>
      <c r="G44" s="91"/>
      <c r="H44" s="91"/>
      <c r="I44" s="91"/>
      <c r="J44" s="91"/>
      <c r="K44" s="91"/>
      <c r="L44" s="91"/>
      <c r="M44" s="91"/>
    </row>
    <row r="45" spans="1:13" x14ac:dyDescent="0.3">
      <c r="A45" s="91"/>
      <c r="B45" s="91"/>
      <c r="C45" s="91"/>
      <c r="D45" s="91"/>
      <c r="E45" s="91"/>
      <c r="F45" s="91"/>
      <c r="G45" s="91"/>
      <c r="H45" s="91"/>
      <c r="I45" s="91"/>
      <c r="J45" s="91"/>
      <c r="K45" s="91"/>
      <c r="L45" s="91"/>
      <c r="M45" s="91"/>
    </row>
    <row r="46" spans="1:13" x14ac:dyDescent="0.3">
      <c r="A46" s="91"/>
      <c r="B46" s="91"/>
      <c r="C46" s="91"/>
      <c r="D46" s="91"/>
      <c r="E46" s="91"/>
      <c r="F46" s="91"/>
      <c r="G46" s="91"/>
      <c r="H46" s="91"/>
      <c r="I46" s="91"/>
      <c r="J46" s="91"/>
      <c r="K46" s="91"/>
      <c r="L46" s="91"/>
      <c r="M46" s="91"/>
    </row>
    <row r="47" spans="1:13" x14ac:dyDescent="0.3">
      <c r="A47" s="91"/>
      <c r="B47" s="91"/>
      <c r="C47" s="91"/>
      <c r="D47" s="91"/>
      <c r="E47" s="91"/>
      <c r="F47" s="91"/>
      <c r="G47" s="91"/>
      <c r="H47" s="91"/>
      <c r="I47" s="91"/>
      <c r="J47" s="91"/>
      <c r="K47" s="91"/>
      <c r="L47" s="91"/>
      <c r="M47" s="91"/>
    </row>
    <row r="48" spans="1:13" x14ac:dyDescent="0.3">
      <c r="A48" s="91"/>
      <c r="B48" s="91"/>
      <c r="C48" s="91"/>
      <c r="D48" s="91"/>
      <c r="E48" s="91"/>
      <c r="F48" s="91"/>
      <c r="G48" s="91"/>
      <c r="H48" s="91"/>
      <c r="I48" s="91"/>
      <c r="J48" s="91"/>
      <c r="K48" s="91"/>
      <c r="L48" s="91"/>
      <c r="M48" s="91"/>
    </row>
    <row r="49" spans="1:13" x14ac:dyDescent="0.3">
      <c r="A49" s="91"/>
      <c r="B49" s="91"/>
      <c r="C49" s="91"/>
      <c r="D49" s="91"/>
      <c r="E49" s="91"/>
      <c r="F49" s="91"/>
      <c r="G49" s="91"/>
      <c r="H49" s="91"/>
      <c r="I49" s="91"/>
      <c r="J49" s="91"/>
      <c r="K49" s="91"/>
      <c r="L49" s="91"/>
      <c r="M49" s="91"/>
    </row>
  </sheetData>
  <mergeCells count="5">
    <mergeCell ref="A7:M7"/>
    <mergeCell ref="B8:M8"/>
    <mergeCell ref="F2:G2"/>
    <mergeCell ref="D3:D4"/>
    <mergeCell ref="E5:F5"/>
  </mergeCells>
  <printOptions horizontalCentered="1"/>
  <pageMargins left="0.78740157480314965" right="0.78740157480314965" top="0.78740157480314965" bottom="0.78740157480314965" header="0" footer="0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AF4CE-62F8-41B2-BA66-1D7CC69FD782}">
  <dimension ref="A6:E50"/>
  <sheetViews>
    <sheetView view="pageBreakPreview" topLeftCell="A31" zoomScaleNormal="100" zoomScaleSheetLayoutView="100" workbookViewId="0">
      <selection activeCell="H36" sqref="H36"/>
    </sheetView>
  </sheetViews>
  <sheetFormatPr baseColWidth="10" defaultColWidth="11.44140625" defaultRowHeight="13.8" x14ac:dyDescent="0.3"/>
  <cols>
    <col min="1" max="1" width="9.44140625" style="217" customWidth="1"/>
    <col min="2" max="2" width="32.44140625" style="217" customWidth="1"/>
    <col min="3" max="4" width="10.44140625" style="217" customWidth="1"/>
    <col min="5" max="5" width="10.109375" style="217" customWidth="1"/>
    <col min="6" max="8" width="18.33203125" style="217" customWidth="1"/>
    <col min="9" max="16384" width="11.44140625" style="217"/>
  </cols>
  <sheetData>
    <row r="6" spans="1:5" ht="15" customHeight="1" x14ac:dyDescent="0.3">
      <c r="A6" s="314" t="s">
        <v>151</v>
      </c>
      <c r="B6" s="314"/>
      <c r="C6" s="314"/>
      <c r="D6" s="314"/>
      <c r="E6" s="314"/>
    </row>
    <row r="7" spans="1:5" ht="15" customHeight="1" x14ac:dyDescent="0.3">
      <c r="A7" s="314" t="s">
        <v>152</v>
      </c>
      <c r="B7" s="314"/>
      <c r="C7" s="314"/>
      <c r="D7" s="314"/>
      <c r="E7" s="314"/>
    </row>
    <row r="8" spans="1:5" ht="15" customHeight="1" x14ac:dyDescent="0.3">
      <c r="A8" s="314" t="s">
        <v>153</v>
      </c>
      <c r="B8" s="314"/>
      <c r="C8" s="314"/>
      <c r="D8" s="314"/>
      <c r="E8" s="314"/>
    </row>
    <row r="11" spans="1:5" ht="25.5" customHeight="1" x14ac:dyDescent="0.3">
      <c r="B11" s="220" t="s">
        <v>145</v>
      </c>
      <c r="C11" s="316" t="s">
        <v>146</v>
      </c>
      <c r="D11" s="316"/>
    </row>
    <row r="12" spans="1:5" x14ac:dyDescent="0.3">
      <c r="B12" s="224" t="s">
        <v>154</v>
      </c>
      <c r="C12" s="222"/>
      <c r="D12" s="223"/>
    </row>
    <row r="13" spans="1:5" x14ac:dyDescent="0.3">
      <c r="B13" s="221" t="s">
        <v>140</v>
      </c>
      <c r="C13" s="218">
        <v>0.7</v>
      </c>
      <c r="D13" s="218">
        <v>0.95</v>
      </c>
    </row>
    <row r="14" spans="1:5" x14ac:dyDescent="0.3">
      <c r="B14" s="221" t="s">
        <v>141</v>
      </c>
      <c r="C14" s="218">
        <v>0.8</v>
      </c>
      <c r="D14" s="218">
        <v>0.95</v>
      </c>
    </row>
    <row r="15" spans="1:5" x14ac:dyDescent="0.3">
      <c r="B15" s="221" t="s">
        <v>142</v>
      </c>
      <c r="C15" s="218">
        <v>0.7</v>
      </c>
      <c r="D15" s="218">
        <v>0.85</v>
      </c>
    </row>
    <row r="16" spans="1:5" x14ac:dyDescent="0.3">
      <c r="B16" s="224" t="s">
        <v>147</v>
      </c>
      <c r="C16" s="225">
        <v>0.7</v>
      </c>
      <c r="D16" s="226">
        <v>0.85</v>
      </c>
    </row>
    <row r="17" spans="2:4" x14ac:dyDescent="0.3">
      <c r="B17" s="224" t="s">
        <v>139</v>
      </c>
      <c r="C17" s="225">
        <v>0.75</v>
      </c>
      <c r="D17" s="226">
        <v>0.95</v>
      </c>
    </row>
    <row r="18" spans="2:4" x14ac:dyDescent="0.3">
      <c r="B18" s="228" t="s">
        <v>155</v>
      </c>
      <c r="C18" s="229"/>
      <c r="D18" s="230"/>
    </row>
    <row r="19" spans="2:4" x14ac:dyDescent="0.3">
      <c r="B19" s="221" t="s">
        <v>156</v>
      </c>
      <c r="C19" s="218">
        <v>0.05</v>
      </c>
      <c r="D19" s="218">
        <v>0.1</v>
      </c>
    </row>
    <row r="20" spans="2:4" x14ac:dyDescent="0.3">
      <c r="B20" s="221" t="s">
        <v>157</v>
      </c>
      <c r="C20" s="218">
        <v>0.1</v>
      </c>
      <c r="D20" s="218">
        <v>0.15</v>
      </c>
    </row>
    <row r="21" spans="2:4" x14ac:dyDescent="0.3">
      <c r="B21" s="221" t="s">
        <v>158</v>
      </c>
      <c r="C21" s="218">
        <v>0.15</v>
      </c>
      <c r="D21" s="218">
        <v>0.2</v>
      </c>
    </row>
    <row r="22" spans="2:4" x14ac:dyDescent="0.3">
      <c r="B22" s="228" t="s">
        <v>159</v>
      </c>
      <c r="C22" s="229"/>
      <c r="D22" s="230"/>
    </row>
    <row r="23" spans="2:4" x14ac:dyDescent="0.3">
      <c r="B23" s="221" t="s">
        <v>156</v>
      </c>
      <c r="C23" s="218">
        <v>0.13</v>
      </c>
      <c r="D23" s="218">
        <v>0.17</v>
      </c>
    </row>
    <row r="24" spans="2:4" x14ac:dyDescent="0.3">
      <c r="B24" s="221" t="s">
        <v>157</v>
      </c>
      <c r="C24" s="218">
        <v>0.18</v>
      </c>
      <c r="D24" s="218">
        <v>0.22</v>
      </c>
    </row>
    <row r="25" spans="2:4" x14ac:dyDescent="0.3">
      <c r="B25" s="231" t="s">
        <v>158</v>
      </c>
      <c r="C25" s="219">
        <v>0.25</v>
      </c>
      <c r="D25" s="219">
        <v>0.35</v>
      </c>
    </row>
    <row r="26" spans="2:4" x14ac:dyDescent="0.3">
      <c r="B26" s="237" t="s">
        <v>160</v>
      </c>
      <c r="C26" s="227"/>
      <c r="D26" s="227"/>
    </row>
    <row r="27" spans="2:4" x14ac:dyDescent="0.3">
      <c r="C27" s="227"/>
      <c r="D27" s="227"/>
    </row>
    <row r="28" spans="2:4" x14ac:dyDescent="0.3">
      <c r="C28" s="227"/>
      <c r="D28" s="227"/>
    </row>
    <row r="29" spans="2:4" x14ac:dyDescent="0.3">
      <c r="C29" s="227"/>
      <c r="D29" s="227"/>
    </row>
    <row r="30" spans="2:4" x14ac:dyDescent="0.3">
      <c r="C30" s="227"/>
      <c r="D30" s="227"/>
    </row>
    <row r="31" spans="2:4" x14ac:dyDescent="0.3">
      <c r="C31" s="227"/>
      <c r="D31" s="227"/>
    </row>
    <row r="32" spans="2:4" x14ac:dyDescent="0.3">
      <c r="C32" s="227"/>
      <c r="D32" s="227"/>
    </row>
    <row r="33" spans="1:5" x14ac:dyDescent="0.3">
      <c r="A33" s="238"/>
      <c r="B33" s="238"/>
      <c r="C33" s="238"/>
      <c r="D33" s="238"/>
      <c r="E33" s="238"/>
    </row>
    <row r="34" spans="1:5" x14ac:dyDescent="0.3">
      <c r="A34" s="238"/>
      <c r="B34" s="238"/>
      <c r="C34" s="238"/>
      <c r="D34" s="238"/>
      <c r="E34" s="238"/>
    </row>
    <row r="35" spans="1:5" x14ac:dyDescent="0.3">
      <c r="A35" s="239"/>
      <c r="B35" s="315" t="s">
        <v>144</v>
      </c>
      <c r="C35" s="315"/>
      <c r="D35" s="239"/>
      <c r="E35" s="239"/>
    </row>
    <row r="36" spans="1:5" ht="55.2" x14ac:dyDescent="0.3">
      <c r="A36" s="239"/>
      <c r="B36" s="232" t="s">
        <v>145</v>
      </c>
      <c r="C36" s="232" t="s">
        <v>146</v>
      </c>
      <c r="D36" s="239"/>
      <c r="E36" s="239"/>
    </row>
    <row r="37" spans="1:5" x14ac:dyDescent="0.3">
      <c r="A37" s="239"/>
      <c r="B37" s="233"/>
      <c r="C37" s="232"/>
      <c r="D37" s="239"/>
      <c r="E37" s="239"/>
    </row>
    <row r="38" spans="1:5" x14ac:dyDescent="0.3">
      <c r="A38" s="239"/>
      <c r="B38" s="234" t="s">
        <v>140</v>
      </c>
      <c r="C38" s="235">
        <f>(0.7+0.95)/2</f>
        <v>0.82499999999999996</v>
      </c>
      <c r="D38" s="239"/>
      <c r="E38" s="239"/>
    </row>
    <row r="39" spans="1:5" x14ac:dyDescent="0.3">
      <c r="A39" s="239"/>
      <c r="B39" s="234" t="s">
        <v>141</v>
      </c>
      <c r="C39" s="235">
        <f>(0.8+0.95)/2</f>
        <v>0.875</v>
      </c>
      <c r="D39" s="239"/>
      <c r="E39" s="239"/>
    </row>
    <row r="40" spans="1:5" x14ac:dyDescent="0.3">
      <c r="A40" s="239"/>
      <c r="B40" s="234" t="s">
        <v>142</v>
      </c>
      <c r="C40" s="235">
        <f>(0.7+0.85)/2</f>
        <v>0.77499999999999991</v>
      </c>
      <c r="D40" s="239"/>
      <c r="E40" s="239"/>
    </row>
    <row r="41" spans="1:5" x14ac:dyDescent="0.3">
      <c r="A41" s="239"/>
      <c r="B41" s="236" t="s">
        <v>147</v>
      </c>
      <c r="C41" s="235">
        <f>(0.7+0.85)/2</f>
        <v>0.77499999999999991</v>
      </c>
      <c r="D41" s="239"/>
      <c r="E41" s="239"/>
    </row>
    <row r="42" spans="1:5" x14ac:dyDescent="0.3">
      <c r="A42" s="239"/>
      <c r="B42" s="236" t="s">
        <v>139</v>
      </c>
      <c r="C42" s="235">
        <f>(0.75+0.95)/2</f>
        <v>0.85</v>
      </c>
      <c r="D42" s="239"/>
      <c r="E42" s="239"/>
    </row>
    <row r="43" spans="1:5" x14ac:dyDescent="0.3">
      <c r="A43" s="239"/>
      <c r="B43" s="234" t="s">
        <v>148</v>
      </c>
      <c r="C43" s="235">
        <f>(0.05+0.1)/2</f>
        <v>7.5000000000000011E-2</v>
      </c>
      <c r="D43" s="239"/>
      <c r="E43" s="239"/>
    </row>
    <row r="44" spans="1:5" x14ac:dyDescent="0.3">
      <c r="A44" s="239"/>
      <c r="B44" s="234" t="s">
        <v>137</v>
      </c>
      <c r="C44" s="235">
        <f>(0.1+0.15)/2</f>
        <v>0.125</v>
      </c>
      <c r="D44" s="239"/>
      <c r="E44" s="239"/>
    </row>
    <row r="45" spans="1:5" x14ac:dyDescent="0.3">
      <c r="A45" s="239"/>
      <c r="B45" s="234" t="s">
        <v>143</v>
      </c>
      <c r="C45" s="235">
        <f>(0.15+0.2)/2</f>
        <v>0.17499999999999999</v>
      </c>
      <c r="D45" s="239"/>
      <c r="E45" s="239"/>
    </row>
    <row r="46" spans="1:5" x14ac:dyDescent="0.3">
      <c r="A46" s="239"/>
      <c r="B46" s="234" t="s">
        <v>149</v>
      </c>
      <c r="C46" s="235">
        <f>(0.13+0.17)/2</f>
        <v>0.15000000000000002</v>
      </c>
      <c r="D46" s="239"/>
      <c r="E46" s="239"/>
    </row>
    <row r="47" spans="1:5" x14ac:dyDescent="0.3">
      <c r="A47" s="239"/>
      <c r="B47" s="234" t="s">
        <v>136</v>
      </c>
      <c r="C47" s="235">
        <f>(0.18+0.22)/2</f>
        <v>0.2</v>
      </c>
      <c r="D47" s="239"/>
      <c r="E47" s="239"/>
    </row>
    <row r="48" spans="1:5" x14ac:dyDescent="0.3">
      <c r="A48" s="239"/>
      <c r="B48" s="234" t="s">
        <v>150</v>
      </c>
      <c r="C48" s="235">
        <f>(0.25+0.35)/2</f>
        <v>0.3</v>
      </c>
      <c r="D48" s="239"/>
      <c r="E48" s="239"/>
    </row>
    <row r="49" spans="1:5" x14ac:dyDescent="0.3">
      <c r="A49" s="239"/>
      <c r="B49" s="239"/>
      <c r="C49" s="239"/>
      <c r="D49" s="239"/>
      <c r="E49" s="239"/>
    </row>
    <row r="50" spans="1:5" x14ac:dyDescent="0.3">
      <c r="A50" s="239"/>
      <c r="B50" s="240"/>
      <c r="C50" s="239"/>
      <c r="D50" s="239"/>
      <c r="E50" s="239"/>
    </row>
  </sheetData>
  <mergeCells count="5">
    <mergeCell ref="A6:E6"/>
    <mergeCell ref="A8:E8"/>
    <mergeCell ref="B35:C35"/>
    <mergeCell ref="C11:D11"/>
    <mergeCell ref="A7:E7"/>
  </mergeCells>
  <printOptions horizontalCentered="1"/>
  <pageMargins left="0.78740157480314965" right="0.78740157480314965" top="0.78740157480314965" bottom="0.78740157480314965" header="0" footer="0"/>
  <pageSetup paperSize="9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505AC-73EA-47F0-87B3-DB4EE378E229}">
  <dimension ref="A1:I49"/>
  <sheetViews>
    <sheetView view="pageBreakPreview" zoomScaleNormal="100" zoomScaleSheetLayoutView="100" workbookViewId="0">
      <selection activeCell="C12" sqref="C12"/>
    </sheetView>
  </sheetViews>
  <sheetFormatPr baseColWidth="10" defaultColWidth="11.44140625" defaultRowHeight="14.4" x14ac:dyDescent="0.3"/>
  <cols>
    <col min="1" max="1" width="13.44140625" style="89" customWidth="1"/>
    <col min="2" max="2" width="16.109375" style="89" customWidth="1"/>
    <col min="3" max="3" width="36.44140625" style="89" customWidth="1"/>
    <col min="4" max="4" width="10.33203125" style="89" customWidth="1"/>
    <col min="5" max="5" width="9.21875" style="89" bestFit="1" customWidth="1"/>
    <col min="6" max="7" width="10.33203125" style="89" customWidth="1"/>
    <col min="8" max="16384" width="11.44140625" style="89"/>
  </cols>
  <sheetData>
    <row r="1" spans="1:9" x14ac:dyDescent="0.3">
      <c r="A1" s="199"/>
      <c r="B1" s="199"/>
      <c r="C1" s="199"/>
      <c r="D1" s="199"/>
      <c r="E1" s="199"/>
      <c r="F1" s="199"/>
      <c r="G1" s="199"/>
    </row>
    <row r="2" spans="1:9" x14ac:dyDescent="0.3">
      <c r="A2" s="199"/>
      <c r="B2" s="199"/>
      <c r="C2" s="199"/>
      <c r="D2" s="199"/>
      <c r="E2" s="199"/>
      <c r="F2" s="199"/>
      <c r="G2" s="199"/>
    </row>
    <row r="3" spans="1:9" ht="15" customHeight="1" x14ac:dyDescent="0.3">
      <c r="A3" s="199"/>
      <c r="B3" s="199"/>
      <c r="C3" s="199"/>
      <c r="D3" s="199"/>
      <c r="E3" s="199"/>
      <c r="F3" s="199"/>
      <c r="G3" s="199"/>
    </row>
    <row r="4" spans="1:9" ht="15" customHeight="1" x14ac:dyDescent="0.3">
      <c r="A4" s="199"/>
      <c r="B4" s="216" t="s">
        <v>129</v>
      </c>
      <c r="C4" s="200">
        <f>'Curvas IDF Cuenca'!M13</f>
        <v>39.899957043482814</v>
      </c>
      <c r="D4" s="201"/>
      <c r="E4" s="199"/>
      <c r="F4" s="199"/>
      <c r="G4" s="199"/>
    </row>
    <row r="5" spans="1:9" ht="15" customHeight="1" x14ac:dyDescent="0.3">
      <c r="A5" s="199"/>
      <c r="B5" s="199"/>
      <c r="C5" s="202"/>
      <c r="D5" s="202"/>
      <c r="E5" s="199"/>
      <c r="F5" s="199"/>
      <c r="G5" s="199"/>
    </row>
    <row r="6" spans="1:9" ht="15" customHeight="1" x14ac:dyDescent="0.3">
      <c r="A6" s="199"/>
      <c r="B6" s="199"/>
      <c r="C6" s="199"/>
      <c r="D6" s="199"/>
      <c r="E6" s="199"/>
      <c r="F6" s="199"/>
      <c r="G6" s="199"/>
    </row>
    <row r="7" spans="1:9" ht="30" customHeight="1" x14ac:dyDescent="0.3">
      <c r="A7" s="203" t="s">
        <v>130</v>
      </c>
      <c r="B7" s="204" t="s">
        <v>131</v>
      </c>
      <c r="C7" s="205" t="s">
        <v>132</v>
      </c>
      <c r="D7" s="204" t="s">
        <v>133</v>
      </c>
      <c r="E7" s="205" t="s">
        <v>161</v>
      </c>
      <c r="F7" s="206" t="s">
        <v>134</v>
      </c>
      <c r="G7" s="207" t="s">
        <v>135</v>
      </c>
    </row>
    <row r="8" spans="1:9" ht="15" customHeight="1" x14ac:dyDescent="0.3">
      <c r="A8" s="317" t="s">
        <v>164</v>
      </c>
      <c r="B8" s="208" t="s">
        <v>163</v>
      </c>
      <c r="C8" s="209" t="s">
        <v>139</v>
      </c>
      <c r="D8" s="210">
        <v>636.72</v>
      </c>
      <c r="E8" s="211">
        <f>IFERROR(VLOOKUP(C8,'Coef. Escorrent'!B$38:C$48,2,0),"")</f>
        <v>0.85</v>
      </c>
      <c r="F8" s="212">
        <f>IFERROR(D8*E8*(C$4/(1000*60*60)),"")</f>
        <v>5.9984265420603951E-3</v>
      </c>
      <c r="G8" s="210">
        <f>IFERROR(F8*1000,"")</f>
        <v>5.9984265420603951</v>
      </c>
      <c r="I8" s="241"/>
    </row>
    <row r="9" spans="1:9" ht="15" customHeight="1" x14ac:dyDescent="0.3">
      <c r="A9" s="318"/>
      <c r="B9" s="208" t="s">
        <v>165</v>
      </c>
      <c r="C9" s="209" t="s">
        <v>139</v>
      </c>
      <c r="D9" s="210">
        <v>200.96</v>
      </c>
      <c r="E9" s="211">
        <f>IFERROR(VLOOKUP(C9,'Coef. Escorrent'!B$38:C$48,2,0),"")</f>
        <v>0.85</v>
      </c>
      <c r="F9" s="212">
        <f t="shared" ref="F9:F10" si="0">IFERROR(D9*E9*(C$4/(1000*60*60)),"")</f>
        <v>1.8932086284276558E-3</v>
      </c>
      <c r="G9" s="210">
        <f t="shared" ref="G9:G10" si="1">IFERROR(F9*1000,"")</f>
        <v>1.8932086284276557</v>
      </c>
    </row>
    <row r="10" spans="1:9" ht="15" customHeight="1" x14ac:dyDescent="0.3">
      <c r="A10" s="318"/>
      <c r="B10" s="208" t="s">
        <v>166</v>
      </c>
      <c r="C10" s="209" t="s">
        <v>139</v>
      </c>
      <c r="D10" s="210">
        <v>200.96</v>
      </c>
      <c r="E10" s="211">
        <f>IFERROR(VLOOKUP(C10,'Coef. Escorrent'!B$38:C$48,2,0),"")</f>
        <v>0.85</v>
      </c>
      <c r="F10" s="212">
        <f t="shared" si="0"/>
        <v>1.8932086284276558E-3</v>
      </c>
      <c r="G10" s="210">
        <f t="shared" si="1"/>
        <v>1.8932086284276557</v>
      </c>
    </row>
    <row r="11" spans="1:9" ht="15" customHeight="1" x14ac:dyDescent="0.3">
      <c r="A11" s="318"/>
      <c r="B11" s="208" t="s">
        <v>167</v>
      </c>
      <c r="C11" s="209" t="s">
        <v>139</v>
      </c>
      <c r="D11" s="210">
        <v>340.68</v>
      </c>
      <c r="E11" s="211">
        <f>IFERROR(VLOOKUP(C11,'Coef. Escorrent'!B$38:C$48,2,0),"")</f>
        <v>0.85</v>
      </c>
      <c r="F11" s="212">
        <f t="shared" ref="F11:F15" si="2">IFERROR(D11*E11*(C$4/(1000*60*60)),"")</f>
        <v>3.2094860446493516E-3</v>
      </c>
      <c r="G11" s="210">
        <f t="shared" ref="G11:G22" si="3">IFERROR(F11*1000,"")</f>
        <v>3.2094860446493514</v>
      </c>
    </row>
    <row r="12" spans="1:9" ht="15" customHeight="1" x14ac:dyDescent="0.3">
      <c r="A12" s="318"/>
      <c r="B12" s="208" t="s">
        <v>168</v>
      </c>
      <c r="C12" s="209" t="s">
        <v>139</v>
      </c>
      <c r="D12" s="213">
        <v>100.465</v>
      </c>
      <c r="E12" s="211">
        <f>IFERROR(VLOOKUP(C12,'Coef. Escorrent'!B$38:C$48,2,0),"")</f>
        <v>0.85</v>
      </c>
      <c r="F12" s="212">
        <f t="shared" ref="F12" si="4">IFERROR(D12*E12*(C$4/(1000*60*60)),"")</f>
        <v>9.4646300186596553E-4</v>
      </c>
      <c r="G12" s="210">
        <f t="shared" ref="G12" si="5">IFERROR(F12*1000,"")</f>
        <v>0.94646300186596555</v>
      </c>
    </row>
    <row r="13" spans="1:9" ht="15" customHeight="1" x14ac:dyDescent="0.3">
      <c r="A13" s="318"/>
      <c r="B13" s="208" t="s">
        <v>176</v>
      </c>
      <c r="C13" s="209" t="s">
        <v>139</v>
      </c>
      <c r="D13" s="213">
        <v>19.05</v>
      </c>
      <c r="E13" s="211">
        <f>IFERROR(VLOOKUP(C13,'Coef. Escorrent'!B$38:C$48,2,0),"")</f>
        <v>0.85</v>
      </c>
      <c r="F13" s="212">
        <f t="shared" si="2"/>
        <v>1.7946668178516541E-4</v>
      </c>
      <c r="G13" s="210">
        <f t="shared" si="3"/>
        <v>0.17946668178516542</v>
      </c>
    </row>
    <row r="14" spans="1:9" ht="15" customHeight="1" x14ac:dyDescent="0.3">
      <c r="A14" s="318"/>
      <c r="B14" s="208" t="s">
        <v>169</v>
      </c>
      <c r="C14" s="209" t="s">
        <v>139</v>
      </c>
      <c r="D14" s="210">
        <v>11.83</v>
      </c>
      <c r="E14" s="211">
        <f>IFERROR(VLOOKUP(C14,'Coef. Escorrent'!B$38:C$48,2,0),"")</f>
        <v>0.85</v>
      </c>
      <c r="F14" s="212">
        <f t="shared" si="2"/>
        <v>1.1144833834742818E-4</v>
      </c>
      <c r="G14" s="210">
        <f t="shared" si="3"/>
        <v>0.11144833834742818</v>
      </c>
    </row>
    <row r="15" spans="1:9" ht="15" customHeight="1" x14ac:dyDescent="0.3">
      <c r="A15" s="318"/>
      <c r="B15" s="208" t="s">
        <v>170</v>
      </c>
      <c r="C15" s="209" t="s">
        <v>139</v>
      </c>
      <c r="D15" s="213">
        <v>11.83</v>
      </c>
      <c r="E15" s="211">
        <f>IFERROR(VLOOKUP(C15,'Coef. Escorrent'!B$38:C$48,2,0),"")</f>
        <v>0.85</v>
      </c>
      <c r="F15" s="212">
        <f t="shared" si="2"/>
        <v>1.1144833834742818E-4</v>
      </c>
      <c r="G15" s="210">
        <f t="shared" si="3"/>
        <v>0.11144833834742818</v>
      </c>
    </row>
    <row r="16" spans="1:9" ht="15" customHeight="1" x14ac:dyDescent="0.3">
      <c r="A16" s="318"/>
      <c r="B16" s="208" t="s">
        <v>171</v>
      </c>
      <c r="C16" s="209" t="s">
        <v>139</v>
      </c>
      <c r="D16" s="210">
        <v>66.12</v>
      </c>
      <c r="E16" s="211">
        <f>IFERROR(VLOOKUP(C16,'Coef. Escorrent'!B$38:C$48,2,0),"")</f>
        <v>0.85</v>
      </c>
      <c r="F16" s="212">
        <f t="shared" ref="F16:F21" si="6">IFERROR(D16*E16*(C$4/(1000*60*60)),"")</f>
        <v>6.229048293771726E-4</v>
      </c>
      <c r="G16" s="210">
        <f t="shared" ref="G16:G21" si="7">IFERROR(F16*1000,"")</f>
        <v>0.62290482937717262</v>
      </c>
    </row>
    <row r="17" spans="1:9" ht="15" customHeight="1" x14ac:dyDescent="0.3">
      <c r="A17" s="318"/>
      <c r="B17" s="208" t="s">
        <v>172</v>
      </c>
      <c r="C17" s="209" t="s">
        <v>139</v>
      </c>
      <c r="D17" s="213">
        <v>45.91</v>
      </c>
      <c r="E17" s="211">
        <f>IFERROR(VLOOKUP(C17,'Coef. Escorrent'!B$38:C$48,2,0),"")</f>
        <v>0.85</v>
      </c>
      <c r="F17" s="212">
        <f t="shared" si="6"/>
        <v>4.3250999269065323E-4</v>
      </c>
      <c r="G17" s="210">
        <f t="shared" si="7"/>
        <v>0.43250999269065321</v>
      </c>
    </row>
    <row r="18" spans="1:9" ht="15" customHeight="1" x14ac:dyDescent="0.3">
      <c r="A18" s="318"/>
      <c r="B18" s="208" t="s">
        <v>173</v>
      </c>
      <c r="C18" s="209" t="s">
        <v>139</v>
      </c>
      <c r="D18" s="210">
        <v>90.71</v>
      </c>
      <c r="E18" s="211">
        <f>IFERROR(VLOOKUP(C18,'Coef. Escorrent'!B$38:C$48,2,0),"")</f>
        <v>0.85</v>
      </c>
      <c r="F18" s="212">
        <f t="shared" ref="F18" si="8">IFERROR(D18*E18*(C$4/(1000*60*60)),"")</f>
        <v>8.5456287163949366E-4</v>
      </c>
      <c r="G18" s="210">
        <f t="shared" ref="G18" si="9">IFERROR(F18*1000,"")</f>
        <v>0.85456287163949363</v>
      </c>
    </row>
    <row r="19" spans="1:9" ht="15" customHeight="1" x14ac:dyDescent="0.3">
      <c r="A19" s="318"/>
      <c r="B19" s="208" t="s">
        <v>177</v>
      </c>
      <c r="C19" s="209" t="s">
        <v>139</v>
      </c>
      <c r="D19" s="210">
        <v>49.44</v>
      </c>
      <c r="E19" s="211">
        <f>IFERROR(VLOOKUP(C19,'Coef. Escorrent'!B$38:C$48,2,0),"")</f>
        <v>0.85</v>
      </c>
      <c r="F19" s="212">
        <f t="shared" si="6"/>
        <v>4.6576549855425602E-4</v>
      </c>
      <c r="G19" s="210">
        <f t="shared" si="7"/>
        <v>0.46576549855425603</v>
      </c>
    </row>
    <row r="20" spans="1:9" ht="15" customHeight="1" x14ac:dyDescent="0.3">
      <c r="A20" s="318"/>
      <c r="B20" s="208" t="s">
        <v>174</v>
      </c>
      <c r="C20" s="209" t="s">
        <v>139</v>
      </c>
      <c r="D20" s="213">
        <v>102.54</v>
      </c>
      <c r="E20" s="211">
        <f>IFERROR(VLOOKUP(C20,'Coef. Escorrent'!B$38:C$48,2,0),"")</f>
        <v>0.85</v>
      </c>
      <c r="F20" s="212">
        <f t="shared" si="6"/>
        <v>9.6601120998692197E-4</v>
      </c>
      <c r="G20" s="210">
        <f t="shared" si="7"/>
        <v>0.96601120998692191</v>
      </c>
    </row>
    <row r="21" spans="1:9" ht="15" customHeight="1" x14ac:dyDescent="0.3">
      <c r="A21" s="318"/>
      <c r="B21" s="208" t="s">
        <v>175</v>
      </c>
      <c r="C21" s="209" t="s">
        <v>139</v>
      </c>
      <c r="D21" s="210">
        <v>1050.06</v>
      </c>
      <c r="E21" s="211">
        <f>IFERROR(VLOOKUP(C21,'Coef. Escorrent'!B$38:C$48,2,0),"")</f>
        <v>0.85</v>
      </c>
      <c r="F21" s="212">
        <f t="shared" si="6"/>
        <v>9.8924295997548962E-3</v>
      </c>
      <c r="G21" s="210">
        <f t="shared" si="7"/>
        <v>9.8924295997548963</v>
      </c>
    </row>
    <row r="22" spans="1:9" ht="15" customHeight="1" x14ac:dyDescent="0.3">
      <c r="A22" s="319" t="s">
        <v>138</v>
      </c>
      <c r="B22" s="320"/>
      <c r="C22" s="320"/>
      <c r="D22" s="320"/>
      <c r="E22" s="321"/>
      <c r="F22" s="242">
        <f>SUM(F8:F21)</f>
        <v>2.7577340205914444E-2</v>
      </c>
      <c r="G22" s="214">
        <f t="shared" si="3"/>
        <v>27.577340205914442</v>
      </c>
    </row>
    <row r="23" spans="1:9" ht="15" customHeight="1" x14ac:dyDescent="0.3">
      <c r="A23" s="215"/>
      <c r="B23" s="215"/>
      <c r="C23" s="215"/>
      <c r="D23" s="215"/>
      <c r="E23" s="215"/>
      <c r="F23" s="215"/>
      <c r="G23" s="215"/>
    </row>
    <row r="24" spans="1:9" ht="15" customHeight="1" x14ac:dyDescent="0.3">
      <c r="A24" s="215"/>
      <c r="B24" s="215"/>
      <c r="C24" s="215"/>
      <c r="D24" s="215"/>
      <c r="E24" s="215"/>
      <c r="F24" s="215"/>
      <c r="G24" s="215"/>
    </row>
    <row r="25" spans="1:9" ht="30" customHeight="1" x14ac:dyDescent="0.3">
      <c r="A25" s="203" t="s">
        <v>130</v>
      </c>
      <c r="B25" s="204" t="s">
        <v>131</v>
      </c>
      <c r="C25" s="205" t="s">
        <v>132</v>
      </c>
      <c r="D25" s="204" t="s">
        <v>133</v>
      </c>
      <c r="E25" s="205" t="s">
        <v>161</v>
      </c>
      <c r="F25" s="206" t="s">
        <v>134</v>
      </c>
      <c r="G25" s="207" t="s">
        <v>135</v>
      </c>
    </row>
    <row r="26" spans="1:9" ht="15" customHeight="1" x14ac:dyDescent="0.3">
      <c r="A26" s="317" t="s">
        <v>178</v>
      </c>
      <c r="B26" s="208" t="s">
        <v>179</v>
      </c>
      <c r="C26" s="209" t="s">
        <v>139</v>
      </c>
      <c r="D26" s="210">
        <v>107.71</v>
      </c>
      <c r="E26" s="211">
        <f>IFERROR(VLOOKUP(C26,'Coef. Escorrent'!B$38:C$48,2,0),"")</f>
        <v>0.85</v>
      </c>
      <c r="F26" s="212">
        <f>IFERROR(D26*E26*(C$4/(1000*60*60)),"")</f>
        <v>1.0147168658834731E-3</v>
      </c>
      <c r="G26" s="210">
        <f>IFERROR(F26*1000,"")</f>
        <v>1.0147168658834731</v>
      </c>
      <c r="I26" s="241"/>
    </row>
    <row r="27" spans="1:9" ht="15" customHeight="1" x14ac:dyDescent="0.3">
      <c r="A27" s="318"/>
      <c r="B27" s="208" t="s">
        <v>180</v>
      </c>
      <c r="C27" s="209" t="s">
        <v>139</v>
      </c>
      <c r="D27" s="210">
        <v>95.84</v>
      </c>
      <c r="E27" s="211">
        <f>IFERROR(VLOOKUP(C27,'Coef. Escorrent'!B$38:C$48,2,0),"")</f>
        <v>0.85</v>
      </c>
      <c r="F27" s="212">
        <f t="shared" ref="F27:F34" si="10">IFERROR(D27*E27*(C$4/(1000*60*60)),"")</f>
        <v>9.028916946084122E-4</v>
      </c>
      <c r="G27" s="210">
        <f t="shared" ref="G27:G35" si="11">IFERROR(F27*1000,"")</f>
        <v>0.90289169460841223</v>
      </c>
    </row>
    <row r="28" spans="1:9" ht="15" customHeight="1" x14ac:dyDescent="0.3">
      <c r="A28" s="318"/>
      <c r="B28" s="208" t="s">
        <v>181</v>
      </c>
      <c r="C28" s="209" t="s">
        <v>139</v>
      </c>
      <c r="D28" s="210">
        <v>297.86</v>
      </c>
      <c r="E28" s="211">
        <f>IFERROR(VLOOKUP(C28,'Coef. Escorrent'!B$38:C$48,2,0),"")</f>
        <v>0.85</v>
      </c>
      <c r="F28" s="212">
        <f t="shared" si="10"/>
        <v>2.8060863956183399E-3</v>
      </c>
      <c r="G28" s="210">
        <f t="shared" si="11"/>
        <v>2.8060863956183399</v>
      </c>
    </row>
    <row r="29" spans="1:9" ht="15" customHeight="1" x14ac:dyDescent="0.3">
      <c r="A29" s="318"/>
      <c r="B29" s="208" t="s">
        <v>182</v>
      </c>
      <c r="C29" s="209" t="s">
        <v>139</v>
      </c>
      <c r="D29" s="210">
        <v>242.39</v>
      </c>
      <c r="E29" s="211">
        <f>IFERROR(VLOOKUP(C29,'Coef. Escorrent'!B$38:C$48,2,0),"")</f>
        <v>0.85</v>
      </c>
      <c r="F29" s="212">
        <f t="shared" si="10"/>
        <v>2.283513333223425E-3</v>
      </c>
      <c r="G29" s="210">
        <f t="shared" si="11"/>
        <v>2.283513333223425</v>
      </c>
    </row>
    <row r="30" spans="1:9" ht="15" customHeight="1" x14ac:dyDescent="0.3">
      <c r="A30" s="318"/>
      <c r="B30" s="208" t="s">
        <v>183</v>
      </c>
      <c r="C30" s="209" t="s">
        <v>139</v>
      </c>
      <c r="D30" s="213">
        <v>100.465</v>
      </c>
      <c r="E30" s="211">
        <f>IFERROR(VLOOKUP(C30,'Coef. Escorrent'!B$38:C$48,2,0),"")</f>
        <v>0.85</v>
      </c>
      <c r="F30" s="212">
        <f t="shared" si="10"/>
        <v>9.4646300186596553E-4</v>
      </c>
      <c r="G30" s="210">
        <f t="shared" si="11"/>
        <v>0.94646300186596555</v>
      </c>
    </row>
    <row r="31" spans="1:9" ht="15" customHeight="1" x14ac:dyDescent="0.3">
      <c r="A31" s="318"/>
      <c r="B31" s="208" t="s">
        <v>184</v>
      </c>
      <c r="C31" s="209" t="s">
        <v>139</v>
      </c>
      <c r="D31" s="213">
        <v>242.39</v>
      </c>
      <c r="E31" s="211">
        <f>IFERROR(VLOOKUP(C31,'Coef. Escorrent'!B$38:C$48,2,0),"")</f>
        <v>0.85</v>
      </c>
      <c r="F31" s="212">
        <f t="shared" si="10"/>
        <v>2.283513333223425E-3</v>
      </c>
      <c r="G31" s="210">
        <f t="shared" si="11"/>
        <v>2.283513333223425</v>
      </c>
    </row>
    <row r="32" spans="1:9" ht="15" customHeight="1" x14ac:dyDescent="0.3">
      <c r="A32" s="318"/>
      <c r="B32" s="208" t="s">
        <v>185</v>
      </c>
      <c r="C32" s="209" t="s">
        <v>139</v>
      </c>
      <c r="D32" s="210">
        <v>516.56799999999998</v>
      </c>
      <c r="E32" s="211">
        <f>IFERROR(VLOOKUP(C32,'Coef. Escorrent'!B$38:C$48,2,0),"")</f>
        <v>0.85</v>
      </c>
      <c r="F32" s="212">
        <f t="shared" si="10"/>
        <v>4.8664957940367098E-3</v>
      </c>
      <c r="G32" s="210">
        <f t="shared" si="11"/>
        <v>4.8664957940367097</v>
      </c>
    </row>
    <row r="33" spans="1:9" ht="15" customHeight="1" x14ac:dyDescent="0.3">
      <c r="A33" s="318"/>
      <c r="B33" s="208" t="s">
        <v>186</v>
      </c>
      <c r="C33" s="209" t="s">
        <v>139</v>
      </c>
      <c r="D33" s="213">
        <v>26.869</v>
      </c>
      <c r="E33" s="211">
        <f>IFERROR(VLOOKUP(C33,'Coef. Escorrent'!B$38:C$48,2,0),"")</f>
        <v>0.85</v>
      </c>
      <c r="F33" s="212">
        <f t="shared" si="10"/>
        <v>2.5312809831420517E-4</v>
      </c>
      <c r="G33" s="210">
        <f t="shared" si="11"/>
        <v>0.25312809831420519</v>
      </c>
    </row>
    <row r="34" spans="1:9" ht="15" customHeight="1" x14ac:dyDescent="0.3">
      <c r="A34" s="318"/>
      <c r="B34" s="208" t="s">
        <v>187</v>
      </c>
      <c r="C34" s="209" t="s">
        <v>139</v>
      </c>
      <c r="D34" s="210">
        <v>12.504</v>
      </c>
      <c r="E34" s="211">
        <f>IFERROR(VLOOKUP(C34,'Coef. Escorrent'!B$38:C$48,2,0),"")</f>
        <v>0.85</v>
      </c>
      <c r="F34" s="212">
        <f t="shared" si="10"/>
        <v>1.1779797317804242E-4</v>
      </c>
      <c r="G34" s="210">
        <f t="shared" si="11"/>
        <v>0.11779797317804241</v>
      </c>
    </row>
    <row r="35" spans="1:9" ht="15" customHeight="1" x14ac:dyDescent="0.3">
      <c r="A35" s="319" t="s">
        <v>138</v>
      </c>
      <c r="B35" s="320"/>
      <c r="C35" s="320"/>
      <c r="D35" s="320"/>
      <c r="E35" s="321"/>
      <c r="F35" s="242">
        <f>SUM(F26:F34)</f>
        <v>1.5474606489951999E-2</v>
      </c>
      <c r="G35" s="214">
        <f t="shared" si="11"/>
        <v>15.474606489951999</v>
      </c>
    </row>
    <row r="36" spans="1:9" ht="15" customHeight="1" x14ac:dyDescent="0.3">
      <c r="A36" s="215"/>
      <c r="B36" s="215"/>
      <c r="C36" s="215"/>
      <c r="D36" s="215"/>
      <c r="E36" s="215"/>
      <c r="F36" s="215"/>
      <c r="G36" s="215"/>
    </row>
    <row r="37" spans="1:9" ht="15" customHeight="1" x14ac:dyDescent="0.3">
      <c r="A37" s="215"/>
      <c r="B37" s="215"/>
      <c r="C37" s="215"/>
      <c r="D37" s="215"/>
      <c r="E37" s="215"/>
      <c r="F37" s="215"/>
      <c r="G37" s="215"/>
    </row>
    <row r="38" spans="1:9" ht="30" customHeight="1" x14ac:dyDescent="0.3">
      <c r="A38" s="203" t="s">
        <v>130</v>
      </c>
      <c r="B38" s="204" t="s">
        <v>131</v>
      </c>
      <c r="C38" s="205" t="s">
        <v>132</v>
      </c>
      <c r="D38" s="204" t="s">
        <v>133</v>
      </c>
      <c r="E38" s="205" t="s">
        <v>161</v>
      </c>
      <c r="F38" s="206" t="s">
        <v>134</v>
      </c>
      <c r="G38" s="207" t="s">
        <v>135</v>
      </c>
    </row>
    <row r="39" spans="1:9" ht="15" customHeight="1" x14ac:dyDescent="0.3">
      <c r="A39" s="317" t="s">
        <v>188</v>
      </c>
      <c r="B39" s="208" t="s">
        <v>189</v>
      </c>
      <c r="C39" s="209" t="s">
        <v>139</v>
      </c>
      <c r="D39" s="210">
        <v>89.965999999999994</v>
      </c>
      <c r="E39" s="211">
        <f>IFERROR(VLOOKUP(C39,'Coef. Escorrent'!B$38:C$48,2,0),"")</f>
        <v>0.85</v>
      </c>
      <c r="F39" s="212">
        <f>IFERROR(D39*E39*(C$4/(1000*60*60)),"")</f>
        <v>8.4755377918552179E-4</v>
      </c>
      <c r="G39" s="210">
        <f>IFERROR(F39*1000,"")</f>
        <v>0.84755377918552177</v>
      </c>
      <c r="I39" s="241"/>
    </row>
    <row r="40" spans="1:9" ht="15" customHeight="1" x14ac:dyDescent="0.3">
      <c r="A40" s="318"/>
      <c r="B40" s="208" t="s">
        <v>190</v>
      </c>
      <c r="C40" s="209" t="s">
        <v>139</v>
      </c>
      <c r="D40" s="210">
        <v>95</v>
      </c>
      <c r="E40" s="211">
        <f>IFERROR(VLOOKUP(C40,'Coef. Escorrent'!B$38:C$48,2,0),"")</f>
        <v>0.85</v>
      </c>
      <c r="F40" s="212">
        <f t="shared" ref="F40:F45" si="12">IFERROR(D40*E40*(C$4/(1000*60*60)),"")</f>
        <v>8.9497820312812147E-4</v>
      </c>
      <c r="G40" s="210">
        <f t="shared" ref="G40:G46" si="13">IFERROR(F40*1000,"")</f>
        <v>0.89497820312812149</v>
      </c>
    </row>
    <row r="41" spans="1:9" ht="15" customHeight="1" x14ac:dyDescent="0.3">
      <c r="A41" s="318"/>
      <c r="B41" s="208" t="s">
        <v>191</v>
      </c>
      <c r="C41" s="209" t="s">
        <v>139</v>
      </c>
      <c r="D41" s="210">
        <v>116.59099999999999</v>
      </c>
      <c r="E41" s="211">
        <f>IFERROR(VLOOKUP(C41,'Coef. Escorrent'!B$38:C$48,2,0),"")</f>
        <v>0.85</v>
      </c>
      <c r="F41" s="212">
        <f t="shared" si="12"/>
        <v>1.0983831966411663E-3</v>
      </c>
      <c r="G41" s="210">
        <f t="shared" si="13"/>
        <v>1.0983831966411663</v>
      </c>
    </row>
    <row r="42" spans="1:9" ht="15" customHeight="1" x14ac:dyDescent="0.3">
      <c r="A42" s="318"/>
      <c r="B42" s="208" t="s">
        <v>192</v>
      </c>
      <c r="C42" s="209" t="s">
        <v>139</v>
      </c>
      <c r="D42" s="210">
        <v>116.59099999999999</v>
      </c>
      <c r="E42" s="211">
        <f>IFERROR(VLOOKUP(C42,'Coef. Escorrent'!B$38:C$48,2,0),"")</f>
        <v>0.85</v>
      </c>
      <c r="F42" s="212">
        <f t="shared" si="12"/>
        <v>1.0983831966411663E-3</v>
      </c>
      <c r="G42" s="210">
        <f t="shared" si="13"/>
        <v>1.0983831966411663</v>
      </c>
    </row>
    <row r="43" spans="1:9" ht="15" customHeight="1" x14ac:dyDescent="0.3">
      <c r="A43" s="318"/>
      <c r="B43" s="208" t="s">
        <v>193</v>
      </c>
      <c r="C43" s="209" t="s">
        <v>139</v>
      </c>
      <c r="D43" s="213">
        <v>94.997</v>
      </c>
      <c r="E43" s="211">
        <f>IFERROR(VLOOKUP(C43,'Coef. Escorrent'!B$38:C$48,2,0),"")</f>
        <v>0.85</v>
      </c>
      <c r="F43" s="212">
        <f t="shared" si="12"/>
        <v>8.9494994065854902E-4</v>
      </c>
      <c r="G43" s="210">
        <f t="shared" si="13"/>
        <v>0.89494994065854905</v>
      </c>
    </row>
    <row r="44" spans="1:9" ht="15" customHeight="1" x14ac:dyDescent="0.3">
      <c r="A44" s="318"/>
      <c r="B44" s="208" t="s">
        <v>194</v>
      </c>
      <c r="C44" s="209" t="s">
        <v>139</v>
      </c>
      <c r="D44" s="213">
        <v>95</v>
      </c>
      <c r="E44" s="211">
        <f>IFERROR(VLOOKUP(C44,'Coef. Escorrent'!B$38:C$48,2,0),"")</f>
        <v>0.85</v>
      </c>
      <c r="F44" s="212">
        <f t="shared" si="12"/>
        <v>8.9497820312812147E-4</v>
      </c>
      <c r="G44" s="210">
        <f t="shared" si="13"/>
        <v>0.89497820312812149</v>
      </c>
    </row>
    <row r="45" spans="1:9" ht="15" customHeight="1" x14ac:dyDescent="0.3">
      <c r="A45" s="318"/>
      <c r="B45" s="208" t="s">
        <v>175</v>
      </c>
      <c r="C45" s="209" t="s">
        <v>139</v>
      </c>
      <c r="D45" s="210">
        <v>1049.5999999999999</v>
      </c>
      <c r="E45" s="211">
        <f>IFERROR(VLOOKUP(C45,'Coef. Escorrent'!B$38:C$48,2,0),"")</f>
        <v>0.85</v>
      </c>
      <c r="F45" s="212">
        <f t="shared" si="12"/>
        <v>9.8880960210871172E-3</v>
      </c>
      <c r="G45" s="210">
        <f t="shared" si="13"/>
        <v>9.8880960210871169</v>
      </c>
    </row>
    <row r="46" spans="1:9" ht="15" customHeight="1" x14ac:dyDescent="0.3">
      <c r="A46" s="319" t="s">
        <v>138</v>
      </c>
      <c r="B46" s="320"/>
      <c r="C46" s="320"/>
      <c r="D46" s="320"/>
      <c r="E46" s="321"/>
      <c r="F46" s="242">
        <f>SUM(F39:F45)</f>
        <v>1.5617322540469764E-2</v>
      </c>
      <c r="G46" s="214">
        <f t="shared" si="13"/>
        <v>15.617322540469765</v>
      </c>
    </row>
    <row r="47" spans="1:9" ht="15" customHeight="1" x14ac:dyDescent="0.3">
      <c r="A47" s="215"/>
      <c r="B47" s="215"/>
      <c r="C47" s="215"/>
      <c r="D47" s="215"/>
      <c r="E47" s="215"/>
      <c r="F47" s="215"/>
      <c r="G47" s="215"/>
    </row>
    <row r="48" spans="1:9" ht="15" customHeight="1" x14ac:dyDescent="0.3">
      <c r="A48" s="215"/>
      <c r="B48" s="215"/>
      <c r="C48" s="215"/>
      <c r="D48" s="215"/>
      <c r="E48" s="215"/>
      <c r="F48" s="215"/>
      <c r="G48" s="215"/>
    </row>
    <row r="49" ht="15" customHeight="1" x14ac:dyDescent="0.3"/>
  </sheetData>
  <mergeCells count="6">
    <mergeCell ref="A46:E46"/>
    <mergeCell ref="A8:A21"/>
    <mergeCell ref="A22:E22"/>
    <mergeCell ref="A26:A34"/>
    <mergeCell ref="A35:E35"/>
    <mergeCell ref="A39:A45"/>
  </mergeCells>
  <phoneticPr fontId="46" type="noConversion"/>
  <printOptions horizontalCentered="1"/>
  <pageMargins left="0.78740157480314965" right="0.78740157480314965" top="0.78740157480314965" bottom="0.78740157480314965" header="0" footer="0"/>
  <pageSetup paperSize="9" scale="77" orientation="portrait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F6570CB-C649-48BF-95AA-6B88DD9A12CD}">
          <x14:formula1>
            <xm:f>'Coef. Escorrent'!$B$38:$B$48</xm:f>
          </x14:formula1>
          <xm:sqref>C8:C21 C26:C34 C39:C45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7</vt:i4>
      </vt:variant>
    </vt:vector>
  </HeadingPairs>
  <TitlesOfParts>
    <vt:vector size="16" baseType="lpstr">
      <vt:lpstr>Registros Pluviómetro</vt:lpstr>
      <vt:lpstr>Precip. Máx. Probable</vt:lpstr>
      <vt:lpstr>Precipitación diaria</vt:lpstr>
      <vt:lpstr>Intensidad de precipitacion</vt:lpstr>
      <vt:lpstr>Regresiones I-D-T</vt:lpstr>
      <vt:lpstr>Cte. Regresión Cuenca</vt:lpstr>
      <vt:lpstr>Curvas IDF Cuenca</vt:lpstr>
      <vt:lpstr>Coef. Escorrent</vt:lpstr>
      <vt:lpstr>IE Efrain Ordinola</vt:lpstr>
      <vt:lpstr>'Coef. Escorrent'!Área_de_impresión</vt:lpstr>
      <vt:lpstr>'Cte. Regresión Cuenca'!Área_de_impresión</vt:lpstr>
      <vt:lpstr>'Curvas IDF Cuenca'!Área_de_impresión</vt:lpstr>
      <vt:lpstr>'IE Efrain Ordinola'!Área_de_impresión</vt:lpstr>
      <vt:lpstr>'Intensidad de precipitacion'!Área_de_impresión</vt:lpstr>
      <vt:lpstr>'Precipitación diaria'!Área_de_impresión</vt:lpstr>
      <vt:lpstr>'Regresiones I-D-T'!Área_de_impresión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</dc:creator>
  <cp:lastModifiedBy>LENOVO</cp:lastModifiedBy>
  <cp:lastPrinted>2021-11-25T18:14:40Z</cp:lastPrinted>
  <dcterms:created xsi:type="dcterms:W3CDTF">2013-07-19T18:17:23Z</dcterms:created>
  <dcterms:modified xsi:type="dcterms:W3CDTF">2021-11-25T18:22:45Z</dcterms:modified>
</cp:coreProperties>
</file>