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VIEMBRE ENTREGA ARCAYA\METRADOS\OBRAS PROVISIONALES\GERSON FINAL\"/>
    </mc:Choice>
  </mc:AlternateContent>
  <xr:revisionPtr revIDLastSave="0" documentId="13_ncr:1_{E5C14E41-823E-4D41-A58C-FF37B8BE7120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RESUMEN DE MET." sheetId="56" r:id="rId1"/>
    <sheet name="Metrado General - Arcaya" sheetId="40" r:id="rId2"/>
    <sheet name="Hoja1" sheetId="66" r:id="rId3"/>
  </sheets>
  <externalReferences>
    <externalReference r:id="rId4"/>
  </externalReferences>
  <definedNames>
    <definedName name="_Fill" hidden="1">#REF!</definedName>
    <definedName name="_xlnm.Print_Area" localSheetId="1">'Metrado General - Arcaya'!$A$1:$I$1645</definedName>
    <definedName name="_xlnm.Print_Area" localSheetId="0">'RESUMEN DE MET.'!$A$1:$AC$200</definedName>
    <definedName name="_xlnm.Print_Titles" localSheetId="1">'Metrado General - Arcaya'!$1:$9</definedName>
    <definedName name="_xlnm.Print_Titles" localSheetId="0">'RESUMEN DE MET.'!$1:$10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6" l="1"/>
  <c r="G1348" i="40"/>
  <c r="H1348" i="40" s="1"/>
  <c r="G1349" i="40"/>
  <c r="H1349" i="40" s="1"/>
  <c r="G1350" i="40"/>
  <c r="H1350" i="40" s="1"/>
  <c r="G1353" i="40"/>
  <c r="H1353" i="40" s="1"/>
  <c r="G1354" i="40"/>
  <c r="H1354" i="40" s="1"/>
  <c r="G1355" i="40"/>
  <c r="H1355" i="40" s="1"/>
  <c r="G1356" i="40"/>
  <c r="H1356" i="40" s="1"/>
  <c r="G1347" i="40"/>
  <c r="H1347" i="40" s="1"/>
  <c r="G1363" i="40"/>
  <c r="H1363" i="40" s="1"/>
  <c r="G1366" i="40"/>
  <c r="H1366" i="40" s="1"/>
  <c r="G1367" i="40"/>
  <c r="H1367" i="40" s="1"/>
  <c r="G1360" i="40"/>
  <c r="H1360" i="40" s="1"/>
  <c r="G1372" i="40"/>
  <c r="H1372" i="40" s="1"/>
  <c r="G1373" i="40"/>
  <c r="H1373" i="40" s="1"/>
  <c r="G1374" i="40"/>
  <c r="H1374" i="40" s="1"/>
  <c r="G1371" i="40"/>
  <c r="H1371" i="40" s="1"/>
  <c r="G1379" i="40"/>
  <c r="H1379" i="40" s="1"/>
  <c r="G1381" i="40"/>
  <c r="H1381" i="40" s="1"/>
  <c r="G1378" i="40"/>
  <c r="H1378" i="40" s="1"/>
  <c r="G1391" i="40"/>
  <c r="D1398" i="40"/>
  <c r="G1398" i="40" s="1"/>
  <c r="H1398" i="40" s="1"/>
  <c r="G1409" i="40"/>
  <c r="H1409" i="40" s="1"/>
  <c r="G1410" i="40"/>
  <c r="H1410" i="40" s="1"/>
  <c r="G1411" i="40"/>
  <c r="H1411" i="40" s="1"/>
  <c r="G1408" i="40"/>
  <c r="H1408" i="40" s="1"/>
  <c r="G1421" i="40"/>
  <c r="G1426" i="40"/>
  <c r="H1426" i="40" s="1"/>
  <c r="G1425" i="40"/>
  <c r="H1425" i="40" s="1"/>
  <c r="G1599" i="40"/>
  <c r="G1598" i="40"/>
  <c r="H200" i="56"/>
  <c r="B199" i="56"/>
  <c r="B200" i="56"/>
  <c r="A200" i="56"/>
  <c r="A199" i="56"/>
  <c r="G21" i="40"/>
  <c r="H21" i="40" s="1"/>
  <c r="G149" i="40"/>
  <c r="G148" i="40"/>
  <c r="H148" i="40" s="1"/>
  <c r="G153" i="40"/>
  <c r="G161" i="40"/>
  <c r="H161" i="40" s="1"/>
  <c r="H159" i="40" s="1"/>
  <c r="H172" i="40"/>
  <c r="H170" i="40" s="1"/>
  <c r="G178" i="40"/>
  <c r="G182" i="40"/>
  <c r="H182" i="40" s="1"/>
  <c r="G192" i="40"/>
  <c r="H192" i="40" s="1"/>
  <c r="G191" i="40"/>
  <c r="H191" i="40" s="1"/>
  <c r="H198" i="40"/>
  <c r="H202" i="40"/>
  <c r="G201" i="40"/>
  <c r="H201" i="40" s="1"/>
  <c r="G200" i="40"/>
  <c r="H200" i="40" s="1"/>
  <c r="G199" i="40"/>
  <c r="H199" i="40" s="1"/>
  <c r="G197" i="40"/>
  <c r="H197" i="40" s="1"/>
  <c r="G196" i="40"/>
  <c r="H208" i="40"/>
  <c r="H207" i="40"/>
  <c r="G212" i="40"/>
  <c r="H212" i="40" s="1"/>
  <c r="H210" i="40" s="1"/>
  <c r="H220" i="40"/>
  <c r="H225" i="40"/>
  <c r="H223" i="40" s="1"/>
  <c r="G230" i="40"/>
  <c r="H230" i="40" s="1"/>
  <c r="G229" i="40"/>
  <c r="H229" i="40" s="1"/>
  <c r="G236" i="40"/>
  <c r="H236" i="40" s="1"/>
  <c r="G237" i="40"/>
  <c r="H237" i="40" s="1"/>
  <c r="G238" i="40"/>
  <c r="H238" i="40" s="1"/>
  <c r="G239" i="40"/>
  <c r="H239" i="40" s="1"/>
  <c r="G240" i="40"/>
  <c r="H240" i="40" s="1"/>
  <c r="G235" i="40"/>
  <c r="H235" i="40" s="1"/>
  <c r="H245" i="40"/>
  <c r="H244" i="40"/>
  <c r="G803" i="40"/>
  <c r="G807" i="40"/>
  <c r="G874" i="40"/>
  <c r="H874" i="40" s="1"/>
  <c r="G875" i="40"/>
  <c r="H875" i="40" s="1"/>
  <c r="G876" i="40"/>
  <c r="H876" i="40" s="1"/>
  <c r="G873" i="40"/>
  <c r="H873" i="40" s="1"/>
  <c r="G886" i="40"/>
  <c r="H886" i="40" s="1"/>
  <c r="G887" i="40"/>
  <c r="H887" i="40" s="1"/>
  <c r="G889" i="40"/>
  <c r="H889" i="40" s="1"/>
  <c r="G890" i="40"/>
  <c r="H890" i="40" s="1"/>
  <c r="G892" i="40"/>
  <c r="H892" i="40" s="1"/>
  <c r="G894" i="40"/>
  <c r="H894" i="40" s="1"/>
  <c r="G897" i="40"/>
  <c r="H897" i="40" s="1"/>
  <c r="G899" i="40"/>
  <c r="H899" i="40" s="1"/>
  <c r="G901" i="40"/>
  <c r="H901" i="40" s="1"/>
  <c r="G903" i="40"/>
  <c r="H903" i="40" s="1"/>
  <c r="G905" i="40"/>
  <c r="H905" i="40" s="1"/>
  <c r="G907" i="40"/>
  <c r="H907" i="40" s="1"/>
  <c r="G885" i="40"/>
  <c r="H885" i="40" s="1"/>
  <c r="G1019" i="40"/>
  <c r="H1019" i="40" s="1"/>
  <c r="G1020" i="40"/>
  <c r="H1020" i="40" s="1"/>
  <c r="G1023" i="40"/>
  <c r="H1023" i="40" s="1"/>
  <c r="G1024" i="40"/>
  <c r="H1024" i="40" s="1"/>
  <c r="G1025" i="40"/>
  <c r="H1025" i="40" s="1"/>
  <c r="G1026" i="40"/>
  <c r="H1026" i="40" s="1"/>
  <c r="G1027" i="40"/>
  <c r="H1027" i="40" s="1"/>
  <c r="G1028" i="40"/>
  <c r="H1028" i="40" s="1"/>
  <c r="G1029" i="40"/>
  <c r="H1029" i="40" s="1"/>
  <c r="G1030" i="40"/>
  <c r="H1030" i="40" s="1"/>
  <c r="G1031" i="40"/>
  <c r="H1031" i="40" s="1"/>
  <c r="G1034" i="40"/>
  <c r="H1034" i="40" s="1"/>
  <c r="G1035" i="40"/>
  <c r="H1035" i="40" s="1"/>
  <c r="G1036" i="40"/>
  <c r="H1036" i="40" s="1"/>
  <c r="G1037" i="40"/>
  <c r="H1037" i="40" s="1"/>
  <c r="G1038" i="40"/>
  <c r="H1038" i="40" s="1"/>
  <c r="G1039" i="40"/>
  <c r="H1039" i="40" s="1"/>
  <c r="G1040" i="40"/>
  <c r="H1040" i="40" s="1"/>
  <c r="G1041" i="40"/>
  <c r="H1041" i="40" s="1"/>
  <c r="G1042" i="40"/>
  <c r="H1042" i="40" s="1"/>
  <c r="G1045" i="40"/>
  <c r="H1045" i="40" s="1"/>
  <c r="G1046" i="40"/>
  <c r="H1046" i="40" s="1"/>
  <c r="G1047" i="40"/>
  <c r="H1047" i="40" s="1"/>
  <c r="G1048" i="40"/>
  <c r="H1048" i="40" s="1"/>
  <c r="G1049" i="40"/>
  <c r="H1049" i="40" s="1"/>
  <c r="G1050" i="40"/>
  <c r="H1050" i="40" s="1"/>
  <c r="G1051" i="40"/>
  <c r="H1051" i="40" s="1"/>
  <c r="G1052" i="40"/>
  <c r="H1052" i="40" s="1"/>
  <c r="G1055" i="40"/>
  <c r="H1055" i="40" s="1"/>
  <c r="G1056" i="40"/>
  <c r="H1056" i="40" s="1"/>
  <c r="G1057" i="40"/>
  <c r="H1057" i="40" s="1"/>
  <c r="G1060" i="40"/>
  <c r="H1060" i="40" s="1"/>
  <c r="G1061" i="40"/>
  <c r="H1061" i="40" s="1"/>
  <c r="G1062" i="40"/>
  <c r="H1062" i="40" s="1"/>
  <c r="G1064" i="40"/>
  <c r="H1064" i="40" s="1"/>
  <c r="G1066" i="40"/>
  <c r="H1066" i="40" s="1"/>
  <c r="G1067" i="40"/>
  <c r="H1067" i="40" s="1"/>
  <c r="G1069" i="40"/>
  <c r="H1069" i="40" s="1"/>
  <c r="G1070" i="40"/>
  <c r="H1070" i="40" s="1"/>
  <c r="G1071" i="40"/>
  <c r="H1071" i="40" s="1"/>
  <c r="G1072" i="40"/>
  <c r="H1072" i="40" s="1"/>
  <c r="G1073" i="40"/>
  <c r="H1073" i="40" s="1"/>
  <c r="G1074" i="40"/>
  <c r="H1074" i="40" s="1"/>
  <c r="G1075" i="40"/>
  <c r="H1075" i="40" s="1"/>
  <c r="G1076" i="40"/>
  <c r="H1076" i="40" s="1"/>
  <c r="G1077" i="40"/>
  <c r="H1077" i="40" s="1"/>
  <c r="G1018" i="40"/>
  <c r="H1018" i="40" s="1"/>
  <c r="G1007" i="40"/>
  <c r="H1007" i="40" s="1"/>
  <c r="G1010" i="40"/>
  <c r="H1010" i="40" s="1"/>
  <c r="G1011" i="40"/>
  <c r="H1011" i="40" s="1"/>
  <c r="G1012" i="40"/>
  <c r="H1012" i="40" s="1"/>
  <c r="G1013" i="40"/>
  <c r="H1013" i="40" s="1"/>
  <c r="G1014" i="40"/>
  <c r="H1014" i="40" s="1"/>
  <c r="G1015" i="40"/>
  <c r="H1015" i="40" s="1"/>
  <c r="G1006" i="40"/>
  <c r="H1006" i="40" s="1"/>
  <c r="G993" i="40"/>
  <c r="H993" i="40" s="1"/>
  <c r="G994" i="40"/>
  <c r="H994" i="40" s="1"/>
  <c r="G995" i="40"/>
  <c r="H995" i="40" s="1"/>
  <c r="G996" i="40"/>
  <c r="H996" i="40" s="1"/>
  <c r="G997" i="40"/>
  <c r="H997" i="40" s="1"/>
  <c r="G998" i="40"/>
  <c r="H998" i="40" s="1"/>
  <c r="G999" i="40"/>
  <c r="H999" i="40" s="1"/>
  <c r="G1000" i="40"/>
  <c r="H1000" i="40" s="1"/>
  <c r="G1001" i="40"/>
  <c r="H1001" i="40" s="1"/>
  <c r="G1002" i="40"/>
  <c r="H1002" i="40" s="1"/>
  <c r="G1003" i="40"/>
  <c r="H1003" i="40" s="1"/>
  <c r="G992" i="40"/>
  <c r="H992" i="40" s="1"/>
  <c r="G988" i="40"/>
  <c r="H988" i="40" s="1"/>
  <c r="G989" i="40"/>
  <c r="H989" i="40" s="1"/>
  <c r="G987" i="40"/>
  <c r="H987" i="40" s="1"/>
  <c r="H985" i="40"/>
  <c r="G984" i="40"/>
  <c r="H984" i="40" s="1"/>
  <c r="G983" i="40"/>
  <c r="H983" i="40" s="1"/>
  <c r="H982" i="40"/>
  <c r="G981" i="40"/>
  <c r="H981" i="40" s="1"/>
  <c r="G980" i="40"/>
  <c r="H980" i="40" s="1"/>
  <c r="G978" i="40"/>
  <c r="H978" i="40" s="1"/>
  <c r="H977" i="40"/>
  <c r="G975" i="40"/>
  <c r="H975" i="40" s="1"/>
  <c r="G976" i="40"/>
  <c r="H976" i="40" s="1"/>
  <c r="G974" i="40"/>
  <c r="H974" i="40" s="1"/>
  <c r="G968" i="40"/>
  <c r="H968" i="40" s="1"/>
  <c r="G969" i="40"/>
  <c r="H969" i="40" s="1"/>
  <c r="G970" i="40"/>
  <c r="H970" i="40" s="1"/>
  <c r="G971" i="40"/>
  <c r="H971" i="40" s="1"/>
  <c r="G967" i="40"/>
  <c r="H967" i="40" s="1"/>
  <c r="G952" i="40"/>
  <c r="H952" i="40" s="1"/>
  <c r="G953" i="40"/>
  <c r="H953" i="40" s="1"/>
  <c r="G954" i="40"/>
  <c r="H954" i="40" s="1"/>
  <c r="G955" i="40"/>
  <c r="H955" i="40" s="1"/>
  <c r="G956" i="40"/>
  <c r="H956" i="40" s="1"/>
  <c r="G957" i="40"/>
  <c r="H957" i="40" s="1"/>
  <c r="G958" i="40"/>
  <c r="H958" i="40" s="1"/>
  <c r="G959" i="40"/>
  <c r="H959" i="40" s="1"/>
  <c r="G960" i="40"/>
  <c r="H960" i="40" s="1"/>
  <c r="G961" i="40"/>
  <c r="H961" i="40" s="1"/>
  <c r="G962" i="40"/>
  <c r="H962" i="40" s="1"/>
  <c r="G963" i="40"/>
  <c r="H963" i="40" s="1"/>
  <c r="G964" i="40"/>
  <c r="H964" i="40" s="1"/>
  <c r="G965" i="40"/>
  <c r="H965" i="40" s="1"/>
  <c r="G951" i="40"/>
  <c r="H951" i="40" s="1"/>
  <c r="G947" i="40"/>
  <c r="H947" i="40" s="1"/>
  <c r="G948" i="40"/>
  <c r="H948" i="40" s="1"/>
  <c r="G946" i="40"/>
  <c r="H946" i="40" s="1"/>
  <c r="G937" i="40"/>
  <c r="H937" i="40" s="1"/>
  <c r="G938" i="40"/>
  <c r="H938" i="40" s="1"/>
  <c r="G939" i="40"/>
  <c r="H939" i="40" s="1"/>
  <c r="G940" i="40"/>
  <c r="H940" i="40" s="1"/>
  <c r="G941" i="40"/>
  <c r="H941" i="40" s="1"/>
  <c r="G942" i="40"/>
  <c r="H942" i="40" s="1"/>
  <c r="G943" i="40"/>
  <c r="H943" i="40" s="1"/>
  <c r="G944" i="40"/>
  <c r="H944" i="40" s="1"/>
  <c r="G936" i="40"/>
  <c r="H936" i="40" s="1"/>
  <c r="G934" i="40"/>
  <c r="H934" i="40" s="1"/>
  <c r="G933" i="40"/>
  <c r="H933" i="40" s="1"/>
  <c r="G931" i="40"/>
  <c r="H931" i="40" s="1"/>
  <c r="G918" i="40"/>
  <c r="H918" i="40" s="1"/>
  <c r="G919" i="40"/>
  <c r="H919" i="40" s="1"/>
  <c r="G920" i="40"/>
  <c r="H920" i="40" s="1"/>
  <c r="G921" i="40"/>
  <c r="H921" i="40" s="1"/>
  <c r="G922" i="40"/>
  <c r="H922" i="40" s="1"/>
  <c r="G923" i="40"/>
  <c r="H923" i="40" s="1"/>
  <c r="G924" i="40"/>
  <c r="H924" i="40" s="1"/>
  <c r="G925" i="40"/>
  <c r="H925" i="40" s="1"/>
  <c r="G926" i="40"/>
  <c r="H926" i="40" s="1"/>
  <c r="G927" i="40"/>
  <c r="H927" i="40" s="1"/>
  <c r="G928" i="40"/>
  <c r="H928" i="40" s="1"/>
  <c r="G929" i="40"/>
  <c r="H929" i="40" s="1"/>
  <c r="G917" i="40"/>
  <c r="H917" i="40" s="1"/>
  <c r="G914" i="40"/>
  <c r="H914" i="40" s="1"/>
  <c r="G915" i="40"/>
  <c r="H915" i="40" s="1"/>
  <c r="G913" i="40"/>
  <c r="H913" i="40" s="1"/>
  <c r="H1087" i="40"/>
  <c r="H1086" i="40"/>
  <c r="H1085" i="40"/>
  <c r="G1084" i="40"/>
  <c r="H1084" i="40" s="1"/>
  <c r="G1083" i="40"/>
  <c r="H1083" i="40" s="1"/>
  <c r="H1128" i="40"/>
  <c r="G1206" i="40"/>
  <c r="H1206" i="40" s="1"/>
  <c r="G1207" i="40"/>
  <c r="H1207" i="40" s="1"/>
  <c r="G1208" i="40"/>
  <c r="H1208" i="40" s="1"/>
  <c r="G1209" i="40"/>
  <c r="H1209" i="40" s="1"/>
  <c r="G1210" i="40"/>
  <c r="H1210" i="40" s="1"/>
  <c r="G1211" i="40"/>
  <c r="H1211" i="40" s="1"/>
  <c r="G1214" i="40"/>
  <c r="H1214" i="40" s="1"/>
  <c r="G1215" i="40"/>
  <c r="H1215" i="40" s="1"/>
  <c r="G1216" i="40"/>
  <c r="H1216" i="40" s="1"/>
  <c r="G1217" i="40"/>
  <c r="H1217" i="40" s="1"/>
  <c r="G1218" i="40"/>
  <c r="H1218" i="40" s="1"/>
  <c r="G1219" i="40"/>
  <c r="H1219" i="40" s="1"/>
  <c r="G1220" i="40"/>
  <c r="H1220" i="40" s="1"/>
  <c r="G1224" i="40"/>
  <c r="H1224" i="40" s="1"/>
  <c r="G1225" i="40"/>
  <c r="H1225" i="40" s="1"/>
  <c r="G1226" i="40"/>
  <c r="H1226" i="40" s="1"/>
  <c r="G1227" i="40"/>
  <c r="H1227" i="40" s="1"/>
  <c r="G1228" i="40"/>
  <c r="H1228" i="40" s="1"/>
  <c r="G1229" i="40"/>
  <c r="H1229" i="40" s="1"/>
  <c r="G1230" i="40"/>
  <c r="H1230" i="40" s="1"/>
  <c r="G1233" i="40"/>
  <c r="H1233" i="40" s="1"/>
  <c r="G1234" i="40"/>
  <c r="H1234" i="40" s="1"/>
  <c r="G1235" i="40"/>
  <c r="H1235" i="40" s="1"/>
  <c r="G1236" i="40"/>
  <c r="H1236" i="40" s="1"/>
  <c r="G1237" i="40"/>
  <c r="H1237" i="40" s="1"/>
  <c r="G1238" i="40"/>
  <c r="H1238" i="40" s="1"/>
  <c r="G1239" i="40"/>
  <c r="H1239" i="40" s="1"/>
  <c r="G1242" i="40"/>
  <c r="H1242" i="40" s="1"/>
  <c r="G1243" i="40"/>
  <c r="H1243" i="40" s="1"/>
  <c r="G1244" i="40"/>
  <c r="H1244" i="40" s="1"/>
  <c r="G1245" i="40"/>
  <c r="H1245" i="40" s="1"/>
  <c r="G1246" i="40"/>
  <c r="H1246" i="40" s="1"/>
  <c r="G1247" i="40"/>
  <c r="H1247" i="40" s="1"/>
  <c r="G1248" i="40"/>
  <c r="H1248" i="40" s="1"/>
  <c r="G1250" i="40"/>
  <c r="H1250" i="40" s="1"/>
  <c r="G1251" i="40"/>
  <c r="H1251" i="40" s="1"/>
  <c r="G1252" i="40"/>
  <c r="H1252" i="40" s="1"/>
  <c r="G1253" i="40"/>
  <c r="H1253" i="40" s="1"/>
  <c r="G1254" i="40"/>
  <c r="H1254" i="40" s="1"/>
  <c r="G1255" i="40"/>
  <c r="H1255" i="40" s="1"/>
  <c r="G1256" i="40"/>
  <c r="H1256" i="40" s="1"/>
  <c r="G1258" i="40"/>
  <c r="H1258" i="40" s="1"/>
  <c r="G1259" i="40"/>
  <c r="H1259" i="40" s="1"/>
  <c r="G1260" i="40"/>
  <c r="H1260" i="40" s="1"/>
  <c r="G1261" i="40"/>
  <c r="H1261" i="40" s="1"/>
  <c r="G1262" i="40"/>
  <c r="H1262" i="40" s="1"/>
  <c r="G1263" i="40"/>
  <c r="H1263" i="40" s="1"/>
  <c r="G1264" i="40"/>
  <c r="H1264" i="40" s="1"/>
  <c r="G1266" i="40"/>
  <c r="H1266" i="40" s="1"/>
  <c r="G1267" i="40"/>
  <c r="H1267" i="40" s="1"/>
  <c r="G1268" i="40"/>
  <c r="H1268" i="40" s="1"/>
  <c r="G1269" i="40"/>
  <c r="H1269" i="40" s="1"/>
  <c r="G1270" i="40"/>
  <c r="H1270" i="40" s="1"/>
  <c r="G1271" i="40"/>
  <c r="H1271" i="40" s="1"/>
  <c r="G1272" i="40"/>
  <c r="H1272" i="40" s="1"/>
  <c r="G1278" i="40"/>
  <c r="H1278" i="40" s="1"/>
  <c r="G1280" i="40"/>
  <c r="H1280" i="40" s="1"/>
  <c r="G1281" i="40"/>
  <c r="H1281" i="40" s="1"/>
  <c r="G1282" i="40"/>
  <c r="H1282" i="40" s="1"/>
  <c r="G1283" i="40"/>
  <c r="H1283" i="40" s="1"/>
  <c r="G1284" i="40"/>
  <c r="H1284" i="40" s="1"/>
  <c r="G1285" i="40"/>
  <c r="H1285" i="40" s="1"/>
  <c r="G1286" i="40"/>
  <c r="H1286" i="40" s="1"/>
  <c r="G1288" i="40"/>
  <c r="H1288" i="40" s="1"/>
  <c r="G1289" i="40"/>
  <c r="H1289" i="40" s="1"/>
  <c r="G1291" i="40"/>
  <c r="H1291" i="40" s="1"/>
  <c r="G1292" i="40"/>
  <c r="H1292" i="40" s="1"/>
  <c r="G1293" i="40"/>
  <c r="H1293" i="40" s="1"/>
  <c r="G1294" i="40"/>
  <c r="H1294" i="40" s="1"/>
  <c r="G1295" i="40"/>
  <c r="H1295" i="40" s="1"/>
  <c r="G1296" i="40"/>
  <c r="H1296" i="40" s="1"/>
  <c r="G1297" i="40"/>
  <c r="H1297" i="40" s="1"/>
  <c r="G1302" i="40"/>
  <c r="G1303" i="40"/>
  <c r="G1304" i="40"/>
  <c r="H1304" i="40" s="1"/>
  <c r="G1305" i="40"/>
  <c r="H1305" i="40" s="1"/>
  <c r="G1306" i="40"/>
  <c r="H1306" i="40" s="1"/>
  <c r="G1307" i="40"/>
  <c r="H1307" i="40" s="1"/>
  <c r="G1308" i="40"/>
  <c r="H1308" i="40" s="1"/>
  <c r="G1309" i="40"/>
  <c r="H1309" i="40" s="1"/>
  <c r="G1310" i="40"/>
  <c r="H1310" i="40" s="1"/>
  <c r="G1311" i="40"/>
  <c r="H1311" i="40" s="1"/>
  <c r="G1301" i="40"/>
  <c r="G1316" i="40"/>
  <c r="H1316" i="40" s="1"/>
  <c r="G1318" i="40"/>
  <c r="H1318" i="40" s="1"/>
  <c r="G1323" i="40"/>
  <c r="H1323" i="40" s="1"/>
  <c r="G1324" i="40"/>
  <c r="H1324" i="40" s="1"/>
  <c r="G1644" i="40"/>
  <c r="H1644" i="40" s="1"/>
  <c r="H1642" i="40" s="1"/>
  <c r="AC200" i="56" s="1"/>
  <c r="B160" i="56"/>
  <c r="H189" i="40" l="1"/>
  <c r="H1423" i="40"/>
  <c r="H205" i="40"/>
  <c r="H1079" i="40"/>
  <c r="H242" i="40"/>
  <c r="H232" i="40"/>
  <c r="H871" i="40"/>
  <c r="H227" i="40"/>
  <c r="H909" i="40"/>
  <c r="A120" i="56"/>
  <c r="H68" i="56"/>
  <c r="B68" i="56"/>
  <c r="A68" i="56"/>
  <c r="H39" i="56"/>
  <c r="B39" i="56"/>
  <c r="A39" i="56"/>
  <c r="H354" i="40"/>
  <c r="H352" i="40" s="1"/>
  <c r="AC68" i="56" s="1"/>
  <c r="H253" i="40"/>
  <c r="H251" i="40" s="1"/>
  <c r="AC39" i="56" s="1"/>
  <c r="B3" i="56"/>
  <c r="H156" i="56"/>
  <c r="H158" i="56"/>
  <c r="H160" i="56"/>
  <c r="H163" i="56"/>
  <c r="H164" i="56"/>
  <c r="H165" i="56"/>
  <c r="H166" i="56"/>
  <c r="H167" i="56"/>
  <c r="H168" i="56"/>
  <c r="H169" i="56"/>
  <c r="H170" i="56"/>
  <c r="H171" i="56"/>
  <c r="H172" i="56"/>
  <c r="H173" i="56"/>
  <c r="H174" i="56"/>
  <c r="H176" i="56"/>
  <c r="H178" i="56"/>
  <c r="H179" i="56"/>
  <c r="H181" i="56"/>
  <c r="H182" i="56"/>
  <c r="H184" i="56"/>
  <c r="H185" i="56"/>
  <c r="H187" i="56"/>
  <c r="H189" i="56"/>
  <c r="H190" i="56"/>
  <c r="H191" i="56"/>
  <c r="H192" i="56"/>
  <c r="H193" i="56"/>
  <c r="H194" i="56"/>
  <c r="H195" i="56"/>
  <c r="H196" i="56"/>
  <c r="H198" i="56"/>
  <c r="H151" i="56"/>
  <c r="H152" i="56"/>
  <c r="H153" i="56"/>
  <c r="B149" i="56"/>
  <c r="B150" i="56"/>
  <c r="B151" i="56"/>
  <c r="B152" i="56"/>
  <c r="B153" i="56"/>
  <c r="B154" i="56"/>
  <c r="B155" i="56"/>
  <c r="B156" i="56"/>
  <c r="B157" i="56"/>
  <c r="B158" i="56"/>
  <c r="B159" i="56"/>
  <c r="B161" i="56"/>
  <c r="B162" i="56"/>
  <c r="B163" i="56"/>
  <c r="B164" i="56"/>
  <c r="B165" i="56"/>
  <c r="B166" i="56"/>
  <c r="B167" i="56"/>
  <c r="B168" i="56"/>
  <c r="B169" i="56"/>
  <c r="B170" i="56"/>
  <c r="B171" i="56"/>
  <c r="B172" i="56"/>
  <c r="B173" i="56"/>
  <c r="B174" i="56"/>
  <c r="B175" i="56"/>
  <c r="B176" i="56"/>
  <c r="B177" i="56"/>
  <c r="B178" i="56"/>
  <c r="B179" i="56"/>
  <c r="B180" i="56"/>
  <c r="B181" i="56"/>
  <c r="B182" i="56"/>
  <c r="B183" i="56"/>
  <c r="B184" i="56"/>
  <c r="B185" i="56"/>
  <c r="B186" i="56"/>
  <c r="B187" i="56"/>
  <c r="B188" i="56"/>
  <c r="B189" i="56"/>
  <c r="B190" i="56"/>
  <c r="B191" i="56"/>
  <c r="B192" i="56"/>
  <c r="B193" i="56"/>
  <c r="B194" i="56"/>
  <c r="B195" i="56"/>
  <c r="B196" i="56"/>
  <c r="B197" i="56"/>
  <c r="B198" i="56"/>
  <c r="A198" i="56"/>
  <c r="A197" i="56"/>
  <c r="A196" i="56"/>
  <c r="A195" i="56"/>
  <c r="A194" i="56"/>
  <c r="A193" i="56"/>
  <c r="A192" i="56"/>
  <c r="A191" i="56"/>
  <c r="A190" i="56"/>
  <c r="A189" i="56"/>
  <c r="A188" i="56"/>
  <c r="A187" i="56"/>
  <c r="A186" i="56"/>
  <c r="A185" i="56"/>
  <c r="A184" i="56"/>
  <c r="A183" i="56"/>
  <c r="A182" i="56"/>
  <c r="A181" i="56"/>
  <c r="A180" i="56"/>
  <c r="A179" i="56"/>
  <c r="A178" i="56"/>
  <c r="A177" i="56"/>
  <c r="A176" i="56"/>
  <c r="A175" i="56"/>
  <c r="A174" i="56"/>
  <c r="A173" i="56"/>
  <c r="A172" i="56"/>
  <c r="A171" i="56"/>
  <c r="A170" i="56"/>
  <c r="A168" i="56"/>
  <c r="A169" i="56"/>
  <c r="A167" i="56"/>
  <c r="A166" i="56"/>
  <c r="A165" i="56"/>
  <c r="A164" i="56"/>
  <c r="A163" i="56"/>
  <c r="A162" i="56"/>
  <c r="A161" i="56"/>
  <c r="A160" i="56"/>
  <c r="A159" i="56"/>
  <c r="A158" i="56"/>
  <c r="A157" i="56"/>
  <c r="A156" i="56"/>
  <c r="A155" i="56"/>
  <c r="A154" i="56"/>
  <c r="A153" i="56"/>
  <c r="A152" i="56"/>
  <c r="A151" i="56"/>
  <c r="A150" i="56"/>
  <c r="A149" i="56"/>
  <c r="H1599" i="40"/>
  <c r="H1598" i="40"/>
  <c r="G1593" i="40"/>
  <c r="H1593" i="40" s="1"/>
  <c r="G1592" i="40"/>
  <c r="H1592" i="40" s="1"/>
  <c r="G1591" i="40"/>
  <c r="H1591" i="40" s="1"/>
  <c r="G1590" i="40"/>
  <c r="H1590" i="40" s="1"/>
  <c r="G1589" i="40"/>
  <c r="H1589" i="40" s="1"/>
  <c r="G1588" i="40"/>
  <c r="H1588" i="40" s="1"/>
  <c r="G1584" i="40"/>
  <c r="H1584" i="40" s="1"/>
  <c r="G1583" i="40"/>
  <c r="H1583" i="40" s="1"/>
  <c r="G1639" i="40"/>
  <c r="H1639" i="40" s="1"/>
  <c r="H1637" i="40" s="1"/>
  <c r="AC198" i="56" s="1"/>
  <c r="G1634" i="40"/>
  <c r="H1634" i="40" s="1"/>
  <c r="H1632" i="40" s="1"/>
  <c r="AC196" i="56" s="1"/>
  <c r="G1630" i="40"/>
  <c r="H1630" i="40" s="1"/>
  <c r="G1629" i="40"/>
  <c r="H1629" i="40" s="1"/>
  <c r="G1625" i="40"/>
  <c r="H1625" i="40" s="1"/>
  <c r="H1623" i="40" s="1"/>
  <c r="AC194" i="56" s="1"/>
  <c r="G1621" i="40"/>
  <c r="H1621" i="40" s="1"/>
  <c r="H1619" i="40" s="1"/>
  <c r="AC193" i="56" s="1"/>
  <c r="G1617" i="40"/>
  <c r="H1617" i="40" s="1"/>
  <c r="H1615" i="40" s="1"/>
  <c r="AC192" i="56" s="1"/>
  <c r="G1613" i="40"/>
  <c r="H1613" i="40" s="1"/>
  <c r="H1611" i="40" s="1"/>
  <c r="AC191" i="56" s="1"/>
  <c r="G1609" i="40"/>
  <c r="H1609" i="40" s="1"/>
  <c r="G1608" i="40"/>
  <c r="H1608" i="40" s="1"/>
  <c r="G1604" i="40"/>
  <c r="H1604" i="40" s="1"/>
  <c r="H1602" i="40" s="1"/>
  <c r="AC189" i="56" s="1"/>
  <c r="G1578" i="40"/>
  <c r="H1578" i="40" s="1"/>
  <c r="G1577" i="40"/>
  <c r="H1577" i="40" s="1"/>
  <c r="G1573" i="40"/>
  <c r="H1573" i="40" s="1"/>
  <c r="G1572" i="40"/>
  <c r="H1572" i="40" s="1"/>
  <c r="G1567" i="40"/>
  <c r="H1567" i="40" s="1"/>
  <c r="H1565" i="40" s="1"/>
  <c r="AC179" i="56" s="1"/>
  <c r="G1563" i="40"/>
  <c r="H1563" i="40" s="1"/>
  <c r="H1561" i="40" s="1"/>
  <c r="AC178" i="56" s="1"/>
  <c r="G1558" i="40"/>
  <c r="H1558" i="40" s="1"/>
  <c r="H1556" i="40" s="1"/>
  <c r="AC176" i="56" s="1"/>
  <c r="G1553" i="40"/>
  <c r="H1553" i="40" s="1"/>
  <c r="H1551" i="40" s="1"/>
  <c r="AC174" i="56" s="1"/>
  <c r="G1549" i="40"/>
  <c r="H1549" i="40" s="1"/>
  <c r="G1548" i="40"/>
  <c r="H1548" i="40" s="1"/>
  <c r="H1546" i="40" s="1"/>
  <c r="AC173" i="56" s="1"/>
  <c r="G1544" i="40"/>
  <c r="H1544" i="40" s="1"/>
  <c r="G1543" i="40"/>
  <c r="H1543" i="40" s="1"/>
  <c r="G1539" i="40"/>
  <c r="H1539" i="40" s="1"/>
  <c r="G1538" i="40"/>
  <c r="H1538" i="40" s="1"/>
  <c r="G1534" i="40"/>
  <c r="H1534" i="40" s="1"/>
  <c r="H1532" i="40" s="1"/>
  <c r="AC170" i="56" s="1"/>
  <c r="G1530" i="40"/>
  <c r="H1530" i="40" s="1"/>
  <c r="H1528" i="40" s="1"/>
  <c r="AC169" i="56" s="1"/>
  <c r="G1526" i="40"/>
  <c r="H1526" i="40" s="1"/>
  <c r="G1525" i="40"/>
  <c r="H1525" i="40" s="1"/>
  <c r="H1523" i="40" s="1"/>
  <c r="AC168" i="56" s="1"/>
  <c r="G1521" i="40"/>
  <c r="H1521" i="40" s="1"/>
  <c r="G1520" i="40"/>
  <c r="H1520" i="40" s="1"/>
  <c r="G1516" i="40"/>
  <c r="H1516" i="40" s="1"/>
  <c r="G1515" i="40"/>
  <c r="H1515" i="40" s="1"/>
  <c r="G1511" i="40"/>
  <c r="H1511" i="40" s="1"/>
  <c r="H1509" i="40" s="1"/>
  <c r="AC165" i="56" s="1"/>
  <c r="G1507" i="40"/>
  <c r="H1507" i="40" s="1"/>
  <c r="G1506" i="40"/>
  <c r="H1506" i="40" s="1"/>
  <c r="G1502" i="40"/>
  <c r="H1502" i="40" s="1"/>
  <c r="G1501" i="40"/>
  <c r="H1501" i="40" s="1"/>
  <c r="G1495" i="40"/>
  <c r="H1495" i="40" s="1"/>
  <c r="H1493" i="40" s="1"/>
  <c r="AC160" i="56" s="1"/>
  <c r="G1484" i="40"/>
  <c r="H1484" i="40" s="1"/>
  <c r="G1483" i="40"/>
  <c r="H1483" i="40" s="1"/>
  <c r="G1482" i="40"/>
  <c r="H1482" i="40" s="1"/>
  <c r="G1490" i="40"/>
  <c r="H1490" i="40" s="1"/>
  <c r="G1489" i="40"/>
  <c r="H1489" i="40" s="1"/>
  <c r="G1476" i="40"/>
  <c r="H1476" i="40" s="1"/>
  <c r="G1475" i="40"/>
  <c r="H1475" i="40" s="1"/>
  <c r="G1474" i="40"/>
  <c r="H1474" i="40" s="1"/>
  <c r="G1470" i="40"/>
  <c r="H1470" i="40" s="1"/>
  <c r="G1469" i="40"/>
  <c r="H1469" i="40" s="1"/>
  <c r="G1465" i="40"/>
  <c r="H1465" i="40" s="1"/>
  <c r="G1464" i="40"/>
  <c r="H1464" i="40" s="1"/>
  <c r="H1487" i="40" l="1"/>
  <c r="H1581" i="40"/>
  <c r="AC184" i="56" s="1"/>
  <c r="H1596" i="40"/>
  <c r="AC187" i="56" s="1"/>
  <c r="H1586" i="40"/>
  <c r="AC185" i="56" s="1"/>
  <c r="H1513" i="40"/>
  <c r="AC166" i="56" s="1"/>
  <c r="H1536" i="40"/>
  <c r="AC171" i="56" s="1"/>
  <c r="H1606" i="40"/>
  <c r="AC190" i="56" s="1"/>
  <c r="H1575" i="40"/>
  <c r="AC182" i="56" s="1"/>
  <c r="H1627" i="40"/>
  <c r="AC195" i="56" s="1"/>
  <c r="H1570" i="40"/>
  <c r="AC181" i="56" s="1"/>
  <c r="H1467" i="40"/>
  <c r="AC152" i="56" s="1"/>
  <c r="H1499" i="40"/>
  <c r="AC163" i="56" s="1"/>
  <c r="H1504" i="40"/>
  <c r="AC164" i="56" s="1"/>
  <c r="H1462" i="40"/>
  <c r="AC151" i="56" s="1"/>
  <c r="H1480" i="40"/>
  <c r="AC156" i="56" s="1"/>
  <c r="AC158" i="56"/>
  <c r="H1518" i="40"/>
  <c r="AC167" i="56" s="1"/>
  <c r="H1541" i="40"/>
  <c r="AC172" i="56" s="1"/>
  <c r="H1472" i="40"/>
  <c r="AC153" i="56" s="1"/>
  <c r="H140" i="56" l="1"/>
  <c r="H139" i="56"/>
  <c r="H138" i="56"/>
  <c r="I138" i="56"/>
  <c r="J138" i="56"/>
  <c r="K138" i="56"/>
  <c r="L138" i="56"/>
  <c r="M138" i="56"/>
  <c r="N138" i="56"/>
  <c r="O138" i="56"/>
  <c r="P138" i="56"/>
  <c r="Q138" i="56"/>
  <c r="R138" i="56"/>
  <c r="S138" i="56"/>
  <c r="T138" i="56"/>
  <c r="U138" i="56"/>
  <c r="V138" i="56"/>
  <c r="W138" i="56"/>
  <c r="X138" i="56"/>
  <c r="Y138" i="56"/>
  <c r="Z138" i="56"/>
  <c r="AA138" i="56"/>
  <c r="AB138" i="56"/>
  <c r="I139" i="56"/>
  <c r="J139" i="56"/>
  <c r="K139" i="56"/>
  <c r="L139" i="56"/>
  <c r="M139" i="56"/>
  <c r="N139" i="56"/>
  <c r="O139" i="56"/>
  <c r="P139" i="56"/>
  <c r="Q139" i="56"/>
  <c r="R139" i="56"/>
  <c r="S139" i="56"/>
  <c r="T139" i="56"/>
  <c r="U139" i="56"/>
  <c r="V139" i="56"/>
  <c r="W139" i="56"/>
  <c r="X139" i="56"/>
  <c r="Y139" i="56"/>
  <c r="Z139" i="56"/>
  <c r="AA139" i="56"/>
  <c r="AB139" i="56"/>
  <c r="I140" i="56"/>
  <c r="J140" i="56"/>
  <c r="K140" i="56"/>
  <c r="L140" i="56"/>
  <c r="M140" i="56"/>
  <c r="N140" i="56"/>
  <c r="O140" i="56"/>
  <c r="P140" i="56"/>
  <c r="Q140" i="56"/>
  <c r="R140" i="56"/>
  <c r="S140" i="56"/>
  <c r="T140" i="56"/>
  <c r="U140" i="56"/>
  <c r="V140" i="56"/>
  <c r="W140" i="56"/>
  <c r="X140" i="56"/>
  <c r="Y140" i="56"/>
  <c r="Z140" i="56"/>
  <c r="AA140" i="56"/>
  <c r="AB140" i="56"/>
  <c r="B138" i="56"/>
  <c r="B139" i="56"/>
  <c r="B140" i="56"/>
  <c r="A140" i="56"/>
  <c r="A139" i="56"/>
  <c r="A138" i="56"/>
  <c r="H1406" i="40"/>
  <c r="G1404" i="40"/>
  <c r="H1404" i="40" s="1"/>
  <c r="G1403" i="40"/>
  <c r="H1403" i="40" s="1"/>
  <c r="H1401" i="40" s="1"/>
  <c r="AC138" i="56" l="1"/>
  <c r="G1417" i="40" l="1"/>
  <c r="H1417" i="40" s="1"/>
  <c r="AC139" i="56"/>
  <c r="AC17" i="56"/>
  <c r="AC16" i="56"/>
  <c r="H17" i="56"/>
  <c r="H16" i="56"/>
  <c r="B17" i="56"/>
  <c r="B16" i="56"/>
  <c r="A17" i="56"/>
  <c r="A16" i="56"/>
  <c r="H47" i="56"/>
  <c r="H49" i="56"/>
  <c r="H51" i="56"/>
  <c r="H42" i="56"/>
  <c r="H41" i="56"/>
  <c r="H43" i="56"/>
  <c r="H44" i="56"/>
  <c r="H45" i="56"/>
  <c r="H53" i="56"/>
  <c r="H54" i="56"/>
  <c r="H55" i="56"/>
  <c r="H56" i="56"/>
  <c r="H57" i="56"/>
  <c r="H58" i="56"/>
  <c r="H59" i="56"/>
  <c r="H60" i="56"/>
  <c r="H61" i="56"/>
  <c r="H62" i="56"/>
  <c r="H63" i="56"/>
  <c r="H67" i="56"/>
  <c r="H65" i="56"/>
  <c r="H71" i="56"/>
  <c r="H70" i="56"/>
  <c r="H76" i="56"/>
  <c r="H74" i="56"/>
  <c r="H73" i="56"/>
  <c r="H80" i="56"/>
  <c r="H79" i="56"/>
  <c r="H78" i="56"/>
  <c r="H82" i="56"/>
  <c r="H81" i="56"/>
  <c r="H84" i="56"/>
  <c r="H83" i="56"/>
  <c r="H87" i="56"/>
  <c r="H85" i="56"/>
  <c r="B40" i="56"/>
  <c r="B41" i="56"/>
  <c r="B42" i="56"/>
  <c r="B43" i="56"/>
  <c r="B44" i="56"/>
  <c r="B45" i="56"/>
  <c r="B46" i="56"/>
  <c r="B47" i="56"/>
  <c r="B48" i="56"/>
  <c r="B49" i="56"/>
  <c r="B50" i="56"/>
  <c r="B51" i="56"/>
  <c r="B52" i="56"/>
  <c r="B53" i="56"/>
  <c r="B54" i="56"/>
  <c r="B55" i="56"/>
  <c r="B56" i="56"/>
  <c r="B57" i="56"/>
  <c r="B58" i="56"/>
  <c r="B59" i="56"/>
  <c r="B60" i="56"/>
  <c r="B61" i="56"/>
  <c r="B62" i="56"/>
  <c r="B63" i="56"/>
  <c r="B64" i="56"/>
  <c r="B65" i="56"/>
  <c r="B66" i="56"/>
  <c r="B67" i="56"/>
  <c r="B69" i="56"/>
  <c r="B70" i="56"/>
  <c r="B71" i="56"/>
  <c r="B72" i="56"/>
  <c r="B73" i="56"/>
  <c r="B74" i="56"/>
  <c r="B75" i="56"/>
  <c r="B76" i="56"/>
  <c r="B77" i="56"/>
  <c r="B78" i="56"/>
  <c r="B79" i="56"/>
  <c r="B80" i="56"/>
  <c r="B81" i="56"/>
  <c r="B82" i="56"/>
  <c r="B83" i="56"/>
  <c r="B84" i="56"/>
  <c r="B85" i="56"/>
  <c r="B86" i="56"/>
  <c r="B87" i="56"/>
  <c r="A87" i="56"/>
  <c r="A86" i="56"/>
  <c r="A85" i="56"/>
  <c r="A84" i="56"/>
  <c r="A83" i="56"/>
  <c r="A82" i="56"/>
  <c r="A81" i="56"/>
  <c r="A80" i="56"/>
  <c r="A79" i="56"/>
  <c r="A78" i="56"/>
  <c r="A77" i="56"/>
  <c r="A76" i="56"/>
  <c r="A75" i="56"/>
  <c r="A74" i="56"/>
  <c r="A73" i="56"/>
  <c r="A72" i="56"/>
  <c r="A71" i="56"/>
  <c r="A70" i="56"/>
  <c r="A69" i="56"/>
  <c r="A67" i="56"/>
  <c r="A66" i="56"/>
  <c r="A65" i="56"/>
  <c r="A64" i="56"/>
  <c r="A63" i="56"/>
  <c r="A62" i="56"/>
  <c r="A61" i="56"/>
  <c r="A60" i="56"/>
  <c r="A59" i="56"/>
  <c r="A58" i="56"/>
  <c r="A57" i="56"/>
  <c r="A56" i="56"/>
  <c r="A55" i="56"/>
  <c r="A54" i="56"/>
  <c r="A53" i="56"/>
  <c r="A52" i="56"/>
  <c r="A51" i="56"/>
  <c r="A50" i="56"/>
  <c r="A49" i="56"/>
  <c r="A48" i="56"/>
  <c r="A47" i="56"/>
  <c r="A46" i="56"/>
  <c r="A45" i="56"/>
  <c r="A44" i="56"/>
  <c r="A43" i="56"/>
  <c r="A42" i="56"/>
  <c r="A41" i="56"/>
  <c r="A40" i="56"/>
  <c r="AC37" i="56"/>
  <c r="AC36" i="56"/>
  <c r="AC35" i="56"/>
  <c r="H37" i="56"/>
  <c r="H36" i="56"/>
  <c r="H35" i="56"/>
  <c r="H34" i="56"/>
  <c r="B35" i="56"/>
  <c r="B36" i="56"/>
  <c r="B37" i="56"/>
  <c r="A37" i="56"/>
  <c r="A36" i="56"/>
  <c r="A35" i="56"/>
  <c r="H414" i="40"/>
  <c r="H413" i="40"/>
  <c r="H423" i="40"/>
  <c r="H421" i="40" s="1"/>
  <c r="AC87" i="56" s="1"/>
  <c r="H418" i="40"/>
  <c r="H416" i="40" s="1"/>
  <c r="AC85" i="56" s="1"/>
  <c r="H412" i="40"/>
  <c r="H408" i="40"/>
  <c r="H406" i="40" s="1"/>
  <c r="AC83" i="56" s="1"/>
  <c r="H404" i="40"/>
  <c r="H402" i="40" s="1"/>
  <c r="AC82" i="56" s="1"/>
  <c r="H391" i="40"/>
  <c r="H400" i="40"/>
  <c r="H399" i="40"/>
  <c r="H395" i="40"/>
  <c r="H393" i="40" s="1"/>
  <c r="AC80" i="56" s="1"/>
  <c r="H390" i="40"/>
  <c r="H386" i="40"/>
  <c r="H384" i="40" s="1"/>
  <c r="AC78" i="56" s="1"/>
  <c r="G381" i="40"/>
  <c r="H381" i="40" s="1"/>
  <c r="H379" i="40" s="1"/>
  <c r="AC76" i="56" s="1"/>
  <c r="G376" i="40"/>
  <c r="H376" i="40" s="1"/>
  <c r="G375" i="40"/>
  <c r="H375" i="40" s="1"/>
  <c r="G374" i="40"/>
  <c r="H374" i="40" s="1"/>
  <c r="G370" i="40"/>
  <c r="H370" i="40" s="1"/>
  <c r="H368" i="40" s="1"/>
  <c r="AC73" i="56" s="1"/>
  <c r="H364" i="40"/>
  <c r="H365" i="40"/>
  <c r="H363" i="40"/>
  <c r="H359" i="40"/>
  <c r="H357" i="40" s="1"/>
  <c r="AC70" i="56" s="1"/>
  <c r="H372" i="40" l="1"/>
  <c r="AC74" i="56" s="1"/>
  <c r="H410" i="40"/>
  <c r="AC84" i="56" s="1"/>
  <c r="H361" i="40"/>
  <c r="AC71" i="56" s="1"/>
  <c r="H388" i="40"/>
  <c r="AC79" i="56" s="1"/>
  <c r="H397" i="40"/>
  <c r="AC81" i="56" s="1"/>
  <c r="H350" i="40"/>
  <c r="H345" i="40"/>
  <c r="H343" i="40" s="1"/>
  <c r="AC65" i="56" s="1"/>
  <c r="H340" i="40"/>
  <c r="H338" i="40" s="1"/>
  <c r="AC63" i="56" s="1"/>
  <c r="H336" i="40"/>
  <c r="H334" i="40" s="1"/>
  <c r="AC62" i="56" s="1"/>
  <c r="H332" i="40"/>
  <c r="H330" i="40" s="1"/>
  <c r="AC61" i="56" s="1"/>
  <c r="H328" i="40"/>
  <c r="H326" i="40" s="1"/>
  <c r="AC60" i="56" s="1"/>
  <c r="H324" i="40"/>
  <c r="H322" i="40" s="1"/>
  <c r="AC59" i="56" s="1"/>
  <c r="H320" i="40"/>
  <c r="H318" i="40" s="1"/>
  <c r="AC58" i="56" s="1"/>
  <c r="H316" i="40"/>
  <c r="H314" i="40" s="1"/>
  <c r="AC57" i="56" s="1"/>
  <c r="H312" i="40"/>
  <c r="H310" i="40" s="1"/>
  <c r="AC56" i="56" s="1"/>
  <c r="H308" i="40"/>
  <c r="H306" i="40" s="1"/>
  <c r="AC55" i="56" s="1"/>
  <c r="H304" i="40"/>
  <c r="H302" i="40" s="1"/>
  <c r="AC54" i="56" s="1"/>
  <c r="H300" i="40"/>
  <c r="H298" i="40" s="1"/>
  <c r="AC53" i="56" s="1"/>
  <c r="G295" i="40"/>
  <c r="H295" i="40" s="1"/>
  <c r="H293" i="40" s="1"/>
  <c r="AC51" i="56" s="1"/>
  <c r="G290" i="40"/>
  <c r="H290" i="40" s="1"/>
  <c r="H288" i="40" s="1"/>
  <c r="AC49" i="56" s="1"/>
  <c r="H285" i="40"/>
  <c r="H284" i="40"/>
  <c r="H283" i="40"/>
  <c r="H282" i="40"/>
  <c r="H275" i="40"/>
  <c r="H276" i="40"/>
  <c r="H277" i="40"/>
  <c r="H274" i="40"/>
  <c r="H270" i="40"/>
  <c r="H268" i="40" s="1"/>
  <c r="AC44" i="56" s="1"/>
  <c r="H266" i="40"/>
  <c r="H264" i="40" s="1"/>
  <c r="AC43" i="56" s="1"/>
  <c r="H262" i="40"/>
  <c r="H260" i="40" s="1"/>
  <c r="AC42" i="56" s="1"/>
  <c r="H258" i="40"/>
  <c r="H256" i="40" s="1"/>
  <c r="AC41" i="56" s="1"/>
  <c r="H348" i="40" l="1"/>
  <c r="AC67" i="56" s="1"/>
  <c r="H280" i="40"/>
  <c r="AC47" i="56" s="1"/>
  <c r="H272" i="40"/>
  <c r="AC45" i="56" s="1"/>
  <c r="A141" i="56"/>
  <c r="H148" i="56"/>
  <c r="B148" i="56"/>
  <c r="A148" i="56"/>
  <c r="H147" i="56"/>
  <c r="B147" i="56"/>
  <c r="A147" i="56"/>
  <c r="H146" i="56"/>
  <c r="B146" i="56"/>
  <c r="A146" i="56"/>
  <c r="B145" i="56"/>
  <c r="A145" i="56"/>
  <c r="C1445" i="40"/>
  <c r="G1445" i="40" s="1"/>
  <c r="H1445" i="40" s="1"/>
  <c r="C1444" i="40"/>
  <c r="G1444" i="40" s="1"/>
  <c r="H1444" i="40" s="1"/>
  <c r="G1458" i="40"/>
  <c r="H1458" i="40" s="1"/>
  <c r="G1457" i="40"/>
  <c r="H1457" i="40" s="1"/>
  <c r="G1453" i="40"/>
  <c r="H1453" i="40" s="1"/>
  <c r="G1452" i="40"/>
  <c r="H1452" i="40" s="1"/>
  <c r="G1448" i="40"/>
  <c r="H1448" i="40" s="1"/>
  <c r="G1447" i="40"/>
  <c r="H1447" i="40" s="1"/>
  <c r="G157" i="40"/>
  <c r="H157" i="40" s="1"/>
  <c r="G156" i="40"/>
  <c r="H156" i="40" s="1"/>
  <c r="G155" i="40"/>
  <c r="H155" i="40" s="1"/>
  <c r="D154" i="40"/>
  <c r="G154" i="40" s="1"/>
  <c r="H154" i="40" s="1"/>
  <c r="H153" i="40"/>
  <c r="H149" i="40"/>
  <c r="G145" i="40"/>
  <c r="H145" i="40" s="1"/>
  <c r="G142" i="40"/>
  <c r="H142" i="40" s="1"/>
  <c r="G140" i="40"/>
  <c r="H140" i="40" s="1"/>
  <c r="G139" i="40"/>
  <c r="H139" i="40" s="1"/>
  <c r="G138" i="40"/>
  <c r="H138" i="40" s="1"/>
  <c r="G136" i="40"/>
  <c r="H136" i="40" s="1"/>
  <c r="G135" i="40"/>
  <c r="H135" i="40" s="1"/>
  <c r="G134" i="40"/>
  <c r="H134" i="40" s="1"/>
  <c r="G133" i="40"/>
  <c r="H133" i="40" s="1"/>
  <c r="G131" i="40"/>
  <c r="H131" i="40" s="1"/>
  <c r="G129" i="40"/>
  <c r="H129" i="40" s="1"/>
  <c r="G127" i="40"/>
  <c r="H127" i="40" s="1"/>
  <c r="G126" i="40"/>
  <c r="H126" i="40" s="1"/>
  <c r="G125" i="40"/>
  <c r="H125" i="40" s="1"/>
  <c r="G123" i="40"/>
  <c r="H123" i="40" s="1"/>
  <c r="G122" i="40"/>
  <c r="H122" i="40" s="1"/>
  <c r="G120" i="40"/>
  <c r="H120" i="40" s="1"/>
  <c r="G118" i="40"/>
  <c r="H118" i="40" s="1"/>
  <c r="G115" i="40"/>
  <c r="H115" i="40" s="1"/>
  <c r="G114" i="40"/>
  <c r="H114" i="40" s="1"/>
  <c r="G112" i="40"/>
  <c r="H112" i="40" s="1"/>
  <c r="G111" i="40"/>
  <c r="H111" i="40" s="1"/>
  <c r="G109" i="40"/>
  <c r="H109" i="40" s="1"/>
  <c r="G108" i="40"/>
  <c r="H108" i="40" s="1"/>
  <c r="G104" i="40"/>
  <c r="H104" i="40" s="1"/>
  <c r="H103" i="40" s="1"/>
  <c r="G101" i="40"/>
  <c r="H101" i="40" s="1"/>
  <c r="H100" i="40" s="1"/>
  <c r="G98" i="40"/>
  <c r="H98" i="40" s="1"/>
  <c r="H97" i="40" s="1"/>
  <c r="G95" i="40"/>
  <c r="H95" i="40" s="1"/>
  <c r="H94" i="40" s="1"/>
  <c r="G92" i="40"/>
  <c r="H92" i="40" s="1"/>
  <c r="H91" i="40" s="1"/>
  <c r="G89" i="40"/>
  <c r="H89" i="40" s="1"/>
  <c r="H88" i="40" s="1"/>
  <c r="G85" i="40"/>
  <c r="H85" i="40" s="1"/>
  <c r="H84" i="40" s="1"/>
  <c r="G82" i="40"/>
  <c r="H82" i="40" s="1"/>
  <c r="H81" i="40" s="1"/>
  <c r="G79" i="40"/>
  <c r="H79" i="40" s="1"/>
  <c r="H78" i="40" s="1"/>
  <c r="G76" i="40"/>
  <c r="H76" i="40" s="1"/>
  <c r="H75" i="40" s="1"/>
  <c r="G73" i="40"/>
  <c r="H73" i="40" s="1"/>
  <c r="H72" i="40" s="1"/>
  <c r="G70" i="40"/>
  <c r="H70" i="40" s="1"/>
  <c r="G69" i="40"/>
  <c r="H69" i="40" s="1"/>
  <c r="G68" i="40"/>
  <c r="H68" i="40" s="1"/>
  <c r="G65" i="40"/>
  <c r="H65" i="40" s="1"/>
  <c r="G64" i="40"/>
  <c r="H64" i="40" s="1"/>
  <c r="G63" i="40"/>
  <c r="H63" i="40" s="1"/>
  <c r="G62" i="40"/>
  <c r="H62" i="40" s="1"/>
  <c r="G59" i="40"/>
  <c r="H59" i="40" s="1"/>
  <c r="G58" i="40"/>
  <c r="H58" i="40" s="1"/>
  <c r="G55" i="40"/>
  <c r="H55" i="40" s="1"/>
  <c r="H54" i="40" s="1"/>
  <c r="G52" i="40"/>
  <c r="H52" i="40" s="1"/>
  <c r="G51" i="40"/>
  <c r="H51" i="40" s="1"/>
  <c r="G48" i="40"/>
  <c r="H48" i="40" s="1"/>
  <c r="H47" i="40" s="1"/>
  <c r="G45" i="40"/>
  <c r="H45" i="40" s="1"/>
  <c r="H44" i="40" s="1"/>
  <c r="G42" i="40"/>
  <c r="H42" i="40" s="1"/>
  <c r="G41" i="40"/>
  <c r="H41" i="40" s="1"/>
  <c r="G38" i="40"/>
  <c r="H38" i="40" s="1"/>
  <c r="H37" i="40" s="1"/>
  <c r="G35" i="40"/>
  <c r="H35" i="40" s="1"/>
  <c r="H34" i="40" s="1"/>
  <c r="G32" i="40"/>
  <c r="H32" i="40" s="1"/>
  <c r="G31" i="40"/>
  <c r="H31" i="40" s="1"/>
  <c r="G30" i="40"/>
  <c r="H30" i="40" s="1"/>
  <c r="G28" i="40"/>
  <c r="H28" i="40" s="1"/>
  <c r="H151" i="40" l="1"/>
  <c r="H1442" i="40"/>
  <c r="H106" i="40"/>
  <c r="H1455" i="40"/>
  <c r="AC148" i="56" s="1"/>
  <c r="AC146" i="56"/>
  <c r="H1450" i="40"/>
  <c r="AC147" i="56" s="1"/>
  <c r="H27" i="40"/>
  <c r="H67" i="40"/>
  <c r="H57" i="40"/>
  <c r="H50" i="40"/>
  <c r="H40" i="40"/>
  <c r="H61" i="40"/>
  <c r="A119" i="56"/>
  <c r="B32" i="56"/>
  <c r="B38" i="56"/>
  <c r="H38" i="56"/>
  <c r="A38" i="56"/>
  <c r="H143" i="56"/>
  <c r="B143" i="56"/>
  <c r="A143" i="56"/>
  <c r="H249" i="40"/>
  <c r="H247" i="40" s="1"/>
  <c r="AC38" i="56" s="1"/>
  <c r="H1431" i="40"/>
  <c r="H25" i="40" l="1"/>
  <c r="H1430" i="40"/>
  <c r="H1428" i="40" s="1"/>
  <c r="AC143" i="56" s="1"/>
  <c r="H124" i="56"/>
  <c r="B124" i="56"/>
  <c r="A124" i="56"/>
  <c r="A125" i="56"/>
  <c r="G1277" i="40"/>
  <c r="H1277" i="40" s="1"/>
  <c r="H1274" i="40" s="1"/>
  <c r="G1416" i="40" s="1"/>
  <c r="H1416" i="40" s="1"/>
  <c r="AC124" i="56" l="1"/>
  <c r="H142" i="56"/>
  <c r="B142" i="56"/>
  <c r="A142" i="56"/>
  <c r="H141" i="56"/>
  <c r="B141" i="56"/>
  <c r="H129" i="56"/>
  <c r="B129" i="56"/>
  <c r="A129" i="56"/>
  <c r="H128" i="56"/>
  <c r="B128" i="56"/>
  <c r="A128" i="56"/>
  <c r="H125" i="56"/>
  <c r="B125" i="56"/>
  <c r="B34" i="56"/>
  <c r="A34" i="56"/>
  <c r="H33" i="56"/>
  <c r="B33" i="56"/>
  <c r="A33" i="56"/>
  <c r="H32" i="56"/>
  <c r="A32" i="56"/>
  <c r="H31" i="56"/>
  <c r="B31" i="56"/>
  <c r="A31" i="56"/>
  <c r="H30" i="56"/>
  <c r="B30" i="56"/>
  <c r="A30" i="56"/>
  <c r="H29" i="56"/>
  <c r="B29" i="56"/>
  <c r="A29" i="56"/>
  <c r="H28" i="56"/>
  <c r="B28" i="56"/>
  <c r="A28" i="56"/>
  <c r="H27" i="56"/>
  <c r="B27" i="56"/>
  <c r="A27" i="56"/>
  <c r="H26" i="56"/>
  <c r="B26" i="56"/>
  <c r="A26" i="56"/>
  <c r="H25" i="56"/>
  <c r="B25" i="56"/>
  <c r="A25" i="56"/>
  <c r="H1421" i="40"/>
  <c r="H1419" i="40" s="1"/>
  <c r="AC141" i="56" s="1"/>
  <c r="G1343" i="40"/>
  <c r="H1343" i="40" s="1"/>
  <c r="G1337" i="40"/>
  <c r="H1337" i="40" s="1"/>
  <c r="H1335" i="40" s="1"/>
  <c r="AC129" i="56" s="1"/>
  <c r="G1333" i="40"/>
  <c r="H1333" i="40" s="1"/>
  <c r="H1331" i="40" s="1"/>
  <c r="AC128" i="56" s="1"/>
  <c r="E1196" i="40"/>
  <c r="C1303" i="40"/>
  <c r="H1303" i="40" s="1"/>
  <c r="C1302" i="40"/>
  <c r="H1302" i="40" s="1"/>
  <c r="C1301" i="40"/>
  <c r="H1301" i="40" s="1"/>
  <c r="H1387" i="40"/>
  <c r="G1386" i="40"/>
  <c r="H1386" i="40" s="1"/>
  <c r="D1399" i="40"/>
  <c r="G1399" i="40" s="1"/>
  <c r="H1399" i="40" s="1"/>
  <c r="D1397" i="40"/>
  <c r="G1397" i="40" s="1"/>
  <c r="H1397" i="40" s="1"/>
  <c r="D1396" i="40"/>
  <c r="G1396" i="40" s="1"/>
  <c r="H1396" i="40" s="1"/>
  <c r="D1395" i="40"/>
  <c r="G1395" i="40" s="1"/>
  <c r="H1395" i="40" s="1"/>
  <c r="H1385" i="40"/>
  <c r="H1393" i="40" l="1"/>
  <c r="H1299" i="40"/>
  <c r="H1383" i="40"/>
  <c r="AC142" i="56"/>
  <c r="G1342" i="40"/>
  <c r="H1342" i="40" s="1"/>
  <c r="D1380" i="40"/>
  <c r="G1380" i="40" s="1"/>
  <c r="H1380" i="40" s="1"/>
  <c r="D1361" i="40"/>
  <c r="G1361" i="40" s="1"/>
  <c r="H1361" i="40" s="1"/>
  <c r="H1358" i="40" s="1"/>
  <c r="D1325" i="40"/>
  <c r="G1325" i="40" s="1"/>
  <c r="H1325" i="40" s="1"/>
  <c r="D1315" i="40"/>
  <c r="D1320" i="40"/>
  <c r="G1320" i="40" s="1"/>
  <c r="H1320" i="40" s="1"/>
  <c r="D1317" i="40"/>
  <c r="G1317" i="40" s="1"/>
  <c r="H1317" i="40" s="1"/>
  <c r="G1192" i="40"/>
  <c r="AC125" i="56" l="1"/>
  <c r="AC132" i="56"/>
  <c r="AC34" i="56"/>
  <c r="H221" i="40"/>
  <c r="H218" i="40" s="1"/>
  <c r="H216" i="40"/>
  <c r="H214" i="40" s="1"/>
  <c r="AC32" i="56" s="1"/>
  <c r="AC31" i="56"/>
  <c r="G203" i="40"/>
  <c r="H203" i="40" s="1"/>
  <c r="H196" i="40"/>
  <c r="H178" i="40"/>
  <c r="H176" i="40" s="1"/>
  <c r="AC25" i="56" s="1"/>
  <c r="H187" i="40"/>
  <c r="H186" i="40"/>
  <c r="H180" i="40"/>
  <c r="AC26" i="56" s="1"/>
  <c r="A144" i="56"/>
  <c r="A137" i="56"/>
  <c r="A136" i="56"/>
  <c r="A135" i="56"/>
  <c r="A134" i="56"/>
  <c r="A133" i="56"/>
  <c r="A132" i="56"/>
  <c r="A131" i="56"/>
  <c r="A130" i="56"/>
  <c r="A127" i="56"/>
  <c r="A126" i="56"/>
  <c r="A123" i="56"/>
  <c r="A122" i="56"/>
  <c r="A121" i="56"/>
  <c r="A118" i="56"/>
  <c r="A117" i="56"/>
  <c r="A116" i="56"/>
  <c r="A115" i="56"/>
  <c r="A114" i="56"/>
  <c r="A113" i="56"/>
  <c r="A112" i="56"/>
  <c r="A111" i="56"/>
  <c r="A110" i="56"/>
  <c r="A109" i="56"/>
  <c r="A108" i="56"/>
  <c r="A107" i="56"/>
  <c r="A106" i="56"/>
  <c r="H104" i="56"/>
  <c r="B104" i="56"/>
  <c r="A104" i="56"/>
  <c r="H103" i="56"/>
  <c r="B103" i="56"/>
  <c r="A103" i="56"/>
  <c r="H102" i="56"/>
  <c r="B102" i="56"/>
  <c r="A102" i="56"/>
  <c r="H101" i="56"/>
  <c r="B101" i="56"/>
  <c r="A101" i="56"/>
  <c r="H100" i="56"/>
  <c r="B100" i="56"/>
  <c r="A100" i="56"/>
  <c r="H99" i="56"/>
  <c r="B99" i="56"/>
  <c r="A99" i="56"/>
  <c r="H98" i="56"/>
  <c r="B98" i="56"/>
  <c r="A98" i="56"/>
  <c r="H97" i="56"/>
  <c r="B97" i="56"/>
  <c r="A97" i="56"/>
  <c r="H96" i="56"/>
  <c r="B96" i="56"/>
  <c r="A96" i="56"/>
  <c r="H95" i="56"/>
  <c r="B95" i="56"/>
  <c r="B94" i="56"/>
  <c r="A95" i="56"/>
  <c r="A105" i="56"/>
  <c r="A94" i="56"/>
  <c r="A93" i="56"/>
  <c r="A92" i="56"/>
  <c r="A91" i="56"/>
  <c r="H90" i="56"/>
  <c r="B90" i="56"/>
  <c r="A90" i="56"/>
  <c r="A89" i="56"/>
  <c r="A88" i="56"/>
  <c r="A24" i="56"/>
  <c r="A23" i="56"/>
  <c r="A22" i="56"/>
  <c r="A21" i="56"/>
  <c r="A20" i="56"/>
  <c r="A19" i="56"/>
  <c r="A18" i="56"/>
  <c r="A15" i="56"/>
  <c r="A14" i="56"/>
  <c r="A13" i="56"/>
  <c r="B14" i="56"/>
  <c r="H137" i="56"/>
  <c r="B137" i="56"/>
  <c r="H136" i="56"/>
  <c r="B136" i="56"/>
  <c r="H135" i="56"/>
  <c r="B135" i="56"/>
  <c r="H134" i="56"/>
  <c r="B134" i="56"/>
  <c r="H1391" i="40"/>
  <c r="H1369" i="40"/>
  <c r="G1341" i="40"/>
  <c r="H1341" i="40" s="1"/>
  <c r="H1339" i="40" s="1"/>
  <c r="G1329" i="40"/>
  <c r="G1315" i="40"/>
  <c r="H1315" i="40" s="1"/>
  <c r="H1313" i="40" s="1"/>
  <c r="G1205" i="40"/>
  <c r="H1205" i="40" s="1"/>
  <c r="H1203" i="40" s="1"/>
  <c r="G1415" i="40" s="1"/>
  <c r="H1415" i="40" s="1"/>
  <c r="H1413" i="40" s="1"/>
  <c r="AC140" i="56" s="1"/>
  <c r="G1201" i="40"/>
  <c r="H1201" i="40" s="1"/>
  <c r="H1198" i="40" s="1"/>
  <c r="AC122" i="56" s="1"/>
  <c r="G1196" i="40"/>
  <c r="H1196" i="40" s="1"/>
  <c r="H1194" i="40" s="1"/>
  <c r="E1434" i="40" s="1"/>
  <c r="H1434" i="40" s="1"/>
  <c r="H1192" i="40"/>
  <c r="H1189" i="40" s="1"/>
  <c r="AC120" i="56" s="1"/>
  <c r="H194" i="40" l="1"/>
  <c r="AC29" i="56" s="1"/>
  <c r="H184" i="40"/>
  <c r="AC27" i="56" s="1"/>
  <c r="H1389" i="40"/>
  <c r="AC136" i="56" s="1"/>
  <c r="AC137" i="56"/>
  <c r="AC130" i="56"/>
  <c r="H1376" i="40"/>
  <c r="AC134" i="56" s="1"/>
  <c r="AC133" i="56"/>
  <c r="H1329" i="40"/>
  <c r="AC126" i="56"/>
  <c r="AC33" i="56"/>
  <c r="AC30" i="56"/>
  <c r="AC28" i="56"/>
  <c r="AC121" i="56"/>
  <c r="AC135" i="56"/>
  <c r="H1345" i="40" l="1"/>
  <c r="AC131" i="56" s="1"/>
  <c r="H1327" i="40"/>
  <c r="AC127" i="56" s="1"/>
  <c r="D1137" i="40" l="1"/>
  <c r="G1137" i="40" s="1"/>
  <c r="H1137" i="40" s="1"/>
  <c r="G1135" i="40"/>
  <c r="H1135" i="40" s="1"/>
  <c r="H1133" i="40" l="1"/>
  <c r="AC104" i="56" s="1"/>
  <c r="AC90" i="56"/>
  <c r="D821" i="40" l="1"/>
  <c r="G821" i="40" s="1"/>
  <c r="H821" i="40" s="1"/>
  <c r="G820" i="40"/>
  <c r="H820" i="40" s="1"/>
  <c r="D819" i="40"/>
  <c r="G819" i="40" s="1"/>
  <c r="H819" i="40" s="1"/>
  <c r="G818" i="40"/>
  <c r="H818" i="40" s="1"/>
  <c r="D802" i="40"/>
  <c r="G802" i="40" s="1"/>
  <c r="H802" i="40" s="1"/>
  <c r="H803" i="40"/>
  <c r="G764" i="40"/>
  <c r="H764" i="40" s="1"/>
  <c r="G763" i="40"/>
  <c r="H763" i="40" s="1"/>
  <c r="G750" i="40"/>
  <c r="H750" i="40" s="1"/>
  <c r="G749" i="40"/>
  <c r="H749" i="40" s="1"/>
  <c r="G748" i="40"/>
  <c r="H748" i="40" s="1"/>
  <c r="G747" i="40"/>
  <c r="H747" i="40" s="1"/>
  <c r="G735" i="40"/>
  <c r="H735" i="40" s="1"/>
  <c r="G734" i="40"/>
  <c r="H734" i="40" s="1"/>
  <c r="G733" i="40"/>
  <c r="H733" i="40" s="1"/>
  <c r="G732" i="40"/>
  <c r="H732" i="40" s="1"/>
  <c r="G715" i="40"/>
  <c r="H715" i="40" s="1"/>
  <c r="G714" i="40"/>
  <c r="H714" i="40" s="1"/>
  <c r="G698" i="40"/>
  <c r="H698" i="40" s="1"/>
  <c r="G697" i="40"/>
  <c r="H697" i="40" s="1"/>
  <c r="G696" i="40"/>
  <c r="H696" i="40" s="1"/>
  <c r="G695" i="40"/>
  <c r="H695" i="40" s="1"/>
  <c r="G694" i="40"/>
  <c r="H694" i="40" s="1"/>
  <c r="G681" i="40"/>
  <c r="H681" i="40" s="1"/>
  <c r="G680" i="40"/>
  <c r="H680" i="40" s="1"/>
  <c r="G679" i="40"/>
  <c r="H679" i="40" s="1"/>
  <c r="G678" i="40"/>
  <c r="H678" i="40" s="1"/>
  <c r="G656" i="40"/>
  <c r="H656" i="40" s="1"/>
  <c r="G657" i="40"/>
  <c r="H657" i="40" s="1"/>
  <c r="G655" i="40"/>
  <c r="H655" i="40" s="1"/>
  <c r="G520" i="40"/>
  <c r="H520" i="40" s="1"/>
  <c r="G519" i="40"/>
  <c r="H519" i="40" s="1"/>
  <c r="G518" i="40"/>
  <c r="H518" i="40" s="1"/>
  <c r="G517" i="40"/>
  <c r="H517" i="40" s="1"/>
  <c r="G516" i="40"/>
  <c r="H516" i="40" s="1"/>
  <c r="G515" i="40"/>
  <c r="H515" i="40" s="1"/>
  <c r="G514" i="40"/>
  <c r="H514" i="40" s="1"/>
  <c r="G513" i="40"/>
  <c r="H513" i="40" s="1"/>
  <c r="G512" i="40"/>
  <c r="H512" i="40" s="1"/>
  <c r="G511" i="40"/>
  <c r="H511" i="40" s="1"/>
  <c r="D510" i="40"/>
  <c r="G510" i="40" s="1"/>
  <c r="H510" i="40" s="1"/>
  <c r="G509" i="40"/>
  <c r="H509" i="40" s="1"/>
  <c r="G508" i="40"/>
  <c r="H508" i="40" s="1"/>
  <c r="G507" i="40"/>
  <c r="H507" i="40" s="1"/>
  <c r="G506" i="40"/>
  <c r="H506" i="40" s="1"/>
  <c r="G505" i="40"/>
  <c r="H505" i="40" s="1"/>
  <c r="G504" i="40"/>
  <c r="H504" i="40" s="1"/>
  <c r="G809" i="40"/>
  <c r="H809" i="40" s="1"/>
  <c r="G808" i="40"/>
  <c r="H808" i="40" s="1"/>
  <c r="G806" i="40"/>
  <c r="H806" i="40" s="1"/>
  <c r="G805" i="40"/>
  <c r="H805" i="40" s="1"/>
  <c r="G793" i="40"/>
  <c r="H793" i="40" s="1"/>
  <c r="G791" i="40"/>
  <c r="H791" i="40" s="1"/>
  <c r="G789" i="40"/>
  <c r="H789" i="40" s="1"/>
  <c r="G787" i="40"/>
  <c r="H787" i="40" s="1"/>
  <c r="G785" i="40"/>
  <c r="H785" i="40" s="1"/>
  <c r="G783" i="40"/>
  <c r="H783" i="40" s="1"/>
  <c r="G782" i="40"/>
  <c r="H782" i="40" s="1"/>
  <c r="G869" i="40"/>
  <c r="H869" i="40" s="1"/>
  <c r="E862" i="40"/>
  <c r="G862" i="40" s="1"/>
  <c r="H862" i="40" s="1"/>
  <c r="G867" i="40"/>
  <c r="H867" i="40" s="1"/>
  <c r="G866" i="40"/>
  <c r="H866" i="40" s="1"/>
  <c r="G865" i="40"/>
  <c r="H865" i="40" s="1"/>
  <c r="G864" i="40"/>
  <c r="H864" i="40" s="1"/>
  <c r="G863" i="40"/>
  <c r="H863" i="40" s="1"/>
  <c r="G825" i="40"/>
  <c r="H825" i="40" s="1"/>
  <c r="G861" i="40"/>
  <c r="H861" i="40" s="1"/>
  <c r="G860" i="40"/>
  <c r="H860" i="40" s="1"/>
  <c r="G859" i="40"/>
  <c r="H859" i="40" s="1"/>
  <c r="G868" i="40"/>
  <c r="H868" i="40" s="1"/>
  <c r="E856" i="40"/>
  <c r="E853" i="40"/>
  <c r="E850" i="40"/>
  <c r="G850" i="40" s="1"/>
  <c r="H850" i="40" s="1"/>
  <c r="E847" i="40"/>
  <c r="E841" i="40"/>
  <c r="E832" i="40"/>
  <c r="D858" i="40"/>
  <c r="G858" i="40" s="1"/>
  <c r="H858" i="40" s="1"/>
  <c r="D855" i="40"/>
  <c r="G855" i="40" s="1"/>
  <c r="H855" i="40" s="1"/>
  <c r="G852" i="40"/>
  <c r="H852" i="40" s="1"/>
  <c r="D849" i="40"/>
  <c r="G849" i="40" s="1"/>
  <c r="H849" i="40" s="1"/>
  <c r="D846" i="40"/>
  <c r="G846" i="40" s="1"/>
  <c r="H846" i="40" s="1"/>
  <c r="D843" i="40"/>
  <c r="G843" i="40" s="1"/>
  <c r="H843" i="40" s="1"/>
  <c r="D840" i="40"/>
  <c r="G840" i="40" s="1"/>
  <c r="H840" i="40" s="1"/>
  <c r="D837" i="40"/>
  <c r="G837" i="40" s="1"/>
  <c r="H837" i="40" s="1"/>
  <c r="D838" i="40"/>
  <c r="G838" i="40" s="1"/>
  <c r="H838" i="40" s="1"/>
  <c r="D839" i="40"/>
  <c r="G839" i="40" s="1"/>
  <c r="H839" i="40" s="1"/>
  <c r="D834" i="40"/>
  <c r="G834" i="40" s="1"/>
  <c r="H834" i="40" s="1"/>
  <c r="D831" i="40"/>
  <c r="G831" i="40" s="1"/>
  <c r="H831" i="40" s="1"/>
  <c r="D828" i="40"/>
  <c r="G828" i="40" s="1"/>
  <c r="H828" i="40" s="1"/>
  <c r="D857" i="40"/>
  <c r="G857" i="40" s="1"/>
  <c r="H857" i="40" s="1"/>
  <c r="D854" i="40"/>
  <c r="G854" i="40" s="1"/>
  <c r="H854" i="40" s="1"/>
  <c r="G851" i="40"/>
  <c r="H851" i="40" s="1"/>
  <c r="D848" i="40"/>
  <c r="G848" i="40" s="1"/>
  <c r="H848" i="40" s="1"/>
  <c r="D845" i="40"/>
  <c r="G845" i="40" s="1"/>
  <c r="H845" i="40" s="1"/>
  <c r="D842" i="40"/>
  <c r="G842" i="40" s="1"/>
  <c r="H842" i="40" s="1"/>
  <c r="D841" i="40"/>
  <c r="D836" i="40"/>
  <c r="G836" i="40" s="1"/>
  <c r="H836" i="40" s="1"/>
  <c r="D833" i="40"/>
  <c r="G833" i="40" s="1"/>
  <c r="H833" i="40" s="1"/>
  <c r="D830" i="40"/>
  <c r="G830" i="40" s="1"/>
  <c r="H830" i="40" s="1"/>
  <c r="D827" i="40"/>
  <c r="G827" i="40" s="1"/>
  <c r="H827" i="40" s="1"/>
  <c r="E823" i="40"/>
  <c r="G823" i="40" s="1"/>
  <c r="H823" i="40" s="1"/>
  <c r="G824" i="40"/>
  <c r="H824" i="40" s="1"/>
  <c r="D856" i="40"/>
  <c r="D853" i="40"/>
  <c r="D847" i="40"/>
  <c r="D844" i="40"/>
  <c r="G844" i="40" s="1"/>
  <c r="H844" i="40" s="1"/>
  <c r="D832" i="40"/>
  <c r="D829" i="40"/>
  <c r="G829" i="40" s="1"/>
  <c r="H829" i="40" s="1"/>
  <c r="D826" i="40"/>
  <c r="G826" i="40" s="1"/>
  <c r="H826" i="40" s="1"/>
  <c r="D835" i="40"/>
  <c r="G835" i="40" s="1"/>
  <c r="H835" i="40" s="1"/>
  <c r="G817" i="40"/>
  <c r="H817" i="40" s="1"/>
  <c r="G816" i="40"/>
  <c r="H816" i="40" s="1"/>
  <c r="G815" i="40"/>
  <c r="H815" i="40" s="1"/>
  <c r="G801" i="40"/>
  <c r="H801" i="40" s="1"/>
  <c r="E814" i="40"/>
  <c r="G814" i="40" s="1"/>
  <c r="H814" i="40" s="1"/>
  <c r="E813" i="40"/>
  <c r="G813" i="40" s="1"/>
  <c r="H813" i="40" s="1"/>
  <c r="G812" i="40"/>
  <c r="H812" i="40" s="1"/>
  <c r="G811" i="40"/>
  <c r="H811" i="40" s="1"/>
  <c r="G810" i="40"/>
  <c r="H810" i="40" s="1"/>
  <c r="H807" i="40"/>
  <c r="D804" i="40"/>
  <c r="G804" i="40" s="1"/>
  <c r="H804" i="40" s="1"/>
  <c r="G800" i="40"/>
  <c r="H800" i="40" s="1"/>
  <c r="G799" i="40"/>
  <c r="H799" i="40" s="1"/>
  <c r="G798" i="40"/>
  <c r="H798" i="40" s="1"/>
  <c r="G797" i="40"/>
  <c r="H797" i="40" s="1"/>
  <c r="G796" i="40"/>
  <c r="H796" i="40" s="1"/>
  <c r="G795" i="40"/>
  <c r="H795" i="40" s="1"/>
  <c r="G794" i="40"/>
  <c r="H794" i="40" s="1"/>
  <c r="G792" i="40"/>
  <c r="H792" i="40" s="1"/>
  <c r="G790" i="40"/>
  <c r="H790" i="40" s="1"/>
  <c r="G788" i="40"/>
  <c r="H788" i="40" s="1"/>
  <c r="G786" i="40"/>
  <c r="H786" i="40" s="1"/>
  <c r="D784" i="40"/>
  <c r="G784" i="40" s="1"/>
  <c r="H784" i="40" s="1"/>
  <c r="G781" i="40"/>
  <c r="H781" i="40" s="1"/>
  <c r="G780" i="40"/>
  <c r="H780" i="40" s="1"/>
  <c r="E777" i="40"/>
  <c r="G777" i="40" s="1"/>
  <c r="H777" i="40" s="1"/>
  <c r="G778" i="40"/>
  <c r="H778" i="40" s="1"/>
  <c r="G776" i="40"/>
  <c r="H776" i="40" s="1"/>
  <c r="D775" i="40"/>
  <c r="G775" i="40" s="1"/>
  <c r="H775" i="40" s="1"/>
  <c r="G774" i="40"/>
  <c r="H774" i="40" s="1"/>
  <c r="G773" i="40"/>
  <c r="H773" i="40" s="1"/>
  <c r="C772" i="40"/>
  <c r="G772" i="40"/>
  <c r="G771" i="40"/>
  <c r="H771" i="40" s="1"/>
  <c r="G769" i="40"/>
  <c r="H769" i="40" s="1"/>
  <c r="G768" i="40"/>
  <c r="H768" i="40" s="1"/>
  <c r="G767" i="40"/>
  <c r="H767" i="40" s="1"/>
  <c r="G762" i="40"/>
  <c r="H762" i="40" s="1"/>
  <c r="E761" i="40"/>
  <c r="G761" i="40" s="1"/>
  <c r="H761" i="40" s="1"/>
  <c r="G760" i="40"/>
  <c r="H760" i="40" s="1"/>
  <c r="D759" i="40"/>
  <c r="G759" i="40" s="1"/>
  <c r="H759" i="40" s="1"/>
  <c r="D755" i="40"/>
  <c r="G755" i="40" s="1"/>
  <c r="H755" i="40" s="1"/>
  <c r="G754" i="40"/>
  <c r="H754" i="40" s="1"/>
  <c r="H757" i="40"/>
  <c r="G753" i="40"/>
  <c r="H753" i="40" s="1"/>
  <c r="G752" i="40"/>
  <c r="H752" i="40" s="1"/>
  <c r="D746" i="40"/>
  <c r="G746" i="40" s="1"/>
  <c r="H746" i="40" s="1"/>
  <c r="G741" i="40"/>
  <c r="H741" i="40" s="1"/>
  <c r="G740" i="40"/>
  <c r="H740" i="40" s="1"/>
  <c r="G738" i="40"/>
  <c r="H738" i="40" s="1"/>
  <c r="D745" i="40"/>
  <c r="G745" i="40" s="1"/>
  <c r="H745" i="40" s="1"/>
  <c r="G744" i="40"/>
  <c r="H744" i="40" s="1"/>
  <c r="G743" i="40"/>
  <c r="H743" i="40" s="1"/>
  <c r="D739" i="40"/>
  <c r="G739" i="40" s="1"/>
  <c r="H739" i="40" s="1"/>
  <c r="G737" i="40"/>
  <c r="H737" i="40" s="1"/>
  <c r="D730" i="40"/>
  <c r="G730" i="40" s="1"/>
  <c r="H730" i="40" s="1"/>
  <c r="G731" i="40"/>
  <c r="H731" i="40" s="1"/>
  <c r="G729" i="40"/>
  <c r="H729" i="40" s="1"/>
  <c r="G728" i="40"/>
  <c r="H728" i="40" s="1"/>
  <c r="G726" i="40"/>
  <c r="H726" i="40" s="1"/>
  <c r="G725" i="40"/>
  <c r="H725" i="40" s="1"/>
  <c r="D724" i="40"/>
  <c r="G724" i="40" s="1"/>
  <c r="H724" i="40" s="1"/>
  <c r="D723" i="40"/>
  <c r="G723" i="40" s="1"/>
  <c r="H723" i="40" s="1"/>
  <c r="G722" i="40"/>
  <c r="H722" i="40" s="1"/>
  <c r="D721" i="40"/>
  <c r="G721" i="40" s="1"/>
  <c r="H721" i="40" s="1"/>
  <c r="D719" i="40"/>
  <c r="G719" i="40" s="1"/>
  <c r="H719" i="40" s="1"/>
  <c r="D718" i="40"/>
  <c r="G718" i="40" s="1"/>
  <c r="H718" i="40" s="1"/>
  <c r="G720" i="40"/>
  <c r="H720" i="40" s="1"/>
  <c r="G654" i="40"/>
  <c r="H654" i="40" s="1"/>
  <c r="G653" i="40"/>
  <c r="H653" i="40" s="1"/>
  <c r="G652" i="40"/>
  <c r="H652" i="40" s="1"/>
  <c r="G713" i="40"/>
  <c r="H713" i="40" s="1"/>
  <c r="G712" i="40"/>
  <c r="H712" i="40" s="1"/>
  <c r="G711" i="40"/>
  <c r="H711" i="40" s="1"/>
  <c r="D710" i="40"/>
  <c r="G710" i="40" s="1"/>
  <c r="H710" i="40" s="1"/>
  <c r="G707" i="40"/>
  <c r="H707" i="40" s="1"/>
  <c r="G708" i="40"/>
  <c r="H708" i="40" s="1"/>
  <c r="G706" i="40"/>
  <c r="H706" i="40" s="1"/>
  <c r="G705" i="40"/>
  <c r="H705" i="40" s="1"/>
  <c r="G704" i="40"/>
  <c r="H704" i="40" s="1"/>
  <c r="G703" i="40"/>
  <c r="H703" i="40" s="1"/>
  <c r="G702" i="40"/>
  <c r="H702" i="40" s="1"/>
  <c r="G701" i="40"/>
  <c r="H701" i="40" s="1"/>
  <c r="G700" i="40"/>
  <c r="H700" i="40" s="1"/>
  <c r="G693" i="40"/>
  <c r="H693" i="40" s="1"/>
  <c r="G692" i="40"/>
  <c r="H692" i="40" s="1"/>
  <c r="D691" i="40"/>
  <c r="G691" i="40" s="1"/>
  <c r="H691" i="40" s="1"/>
  <c r="G689" i="40"/>
  <c r="H689" i="40" s="1"/>
  <c r="G688" i="40"/>
  <c r="H688" i="40" s="1"/>
  <c r="G687" i="40"/>
  <c r="H687" i="40" s="1"/>
  <c r="G686" i="40"/>
  <c r="H686" i="40" s="1"/>
  <c r="G685" i="40"/>
  <c r="H685" i="40" s="1"/>
  <c r="G684" i="40"/>
  <c r="H684" i="40" s="1"/>
  <c r="G683" i="40"/>
  <c r="H683" i="40" s="1"/>
  <c r="D669" i="40"/>
  <c r="G669" i="40" s="1"/>
  <c r="H669" i="40" s="1"/>
  <c r="G677" i="40"/>
  <c r="H677" i="40" s="1"/>
  <c r="G676" i="40"/>
  <c r="H676" i="40" s="1"/>
  <c r="G675" i="40"/>
  <c r="H675" i="40" s="1"/>
  <c r="G674" i="40"/>
  <c r="H674" i="40" s="1"/>
  <c r="G673" i="40"/>
  <c r="H673" i="40" s="1"/>
  <c r="D672" i="40"/>
  <c r="G672" i="40" s="1"/>
  <c r="H672" i="40" s="1"/>
  <c r="G671" i="40"/>
  <c r="H671" i="40" s="1"/>
  <c r="G670" i="40"/>
  <c r="H670" i="40" s="1"/>
  <c r="D667" i="40"/>
  <c r="G667" i="40" s="1"/>
  <c r="H667" i="40" s="1"/>
  <c r="D668" i="40"/>
  <c r="G668" i="40" s="1"/>
  <c r="H668" i="40" s="1"/>
  <c r="G666" i="40"/>
  <c r="H666" i="40" s="1"/>
  <c r="D663" i="40"/>
  <c r="G663" i="40" s="1"/>
  <c r="H663" i="40" s="1"/>
  <c r="G664" i="40"/>
  <c r="H664" i="40" s="1"/>
  <c r="D662" i="40"/>
  <c r="G662" i="40" s="1"/>
  <c r="H662" i="40" s="1"/>
  <c r="G661" i="40"/>
  <c r="H661" i="40" s="1"/>
  <c r="D660" i="40"/>
  <c r="G660" i="40" s="1"/>
  <c r="H660" i="40" s="1"/>
  <c r="G659" i="40"/>
  <c r="H659" i="40" s="1"/>
  <c r="D650" i="40"/>
  <c r="G650" i="40" s="1"/>
  <c r="H650" i="40" s="1"/>
  <c r="G651" i="40"/>
  <c r="H651" i="40" s="1"/>
  <c r="G649" i="40"/>
  <c r="H649" i="40" s="1"/>
  <c r="G648" i="40"/>
  <c r="H648" i="40" s="1"/>
  <c r="G647" i="40"/>
  <c r="H647" i="40" s="1"/>
  <c r="G645" i="40"/>
  <c r="H645" i="40" s="1"/>
  <c r="G644" i="40"/>
  <c r="H644" i="40" s="1"/>
  <c r="D643" i="40"/>
  <c r="G643" i="40" s="1"/>
  <c r="H643" i="40" s="1"/>
  <c r="D642" i="40"/>
  <c r="G642" i="40" s="1"/>
  <c r="H642" i="40" s="1"/>
  <c r="G641" i="40"/>
  <c r="H641" i="40" s="1"/>
  <c r="G640" i="40"/>
  <c r="H640" i="40" s="1"/>
  <c r="G639" i="40"/>
  <c r="H639" i="40" s="1"/>
  <c r="G638" i="40"/>
  <c r="H638" i="40" s="1"/>
  <c r="G637" i="40"/>
  <c r="H637" i="40" s="1"/>
  <c r="G636" i="40"/>
  <c r="H636" i="40" s="1"/>
  <c r="G618" i="40"/>
  <c r="H618" i="40" s="1"/>
  <c r="G617" i="40"/>
  <c r="H617" i="40" s="1"/>
  <c r="G616" i="40"/>
  <c r="H616" i="40" s="1"/>
  <c r="G615" i="40"/>
  <c r="H615" i="40" s="1"/>
  <c r="G614" i="40"/>
  <c r="H614" i="40" s="1"/>
  <c r="G613" i="40"/>
  <c r="H613" i="40" s="1"/>
  <c r="G612" i="40"/>
  <c r="H612" i="40" s="1"/>
  <c r="G611" i="40"/>
  <c r="H611" i="40" s="1"/>
  <c r="G610" i="40"/>
  <c r="H610" i="40" s="1"/>
  <c r="G609" i="40"/>
  <c r="H609" i="40" s="1"/>
  <c r="G608" i="40"/>
  <c r="H608" i="40" s="1"/>
  <c r="G607" i="40"/>
  <c r="H607" i="40" s="1"/>
  <c r="G606" i="40"/>
  <c r="H606" i="40" s="1"/>
  <c r="G605" i="40"/>
  <c r="H605" i="40" s="1"/>
  <c r="G604" i="40"/>
  <c r="H604" i="40" s="1"/>
  <c r="G603" i="40"/>
  <c r="H603" i="40" s="1"/>
  <c r="G602" i="40"/>
  <c r="H602" i="40" s="1"/>
  <c r="D634" i="40"/>
  <c r="G634" i="40" s="1"/>
  <c r="H634" i="40" s="1"/>
  <c r="D633" i="40"/>
  <c r="G633" i="40" s="1"/>
  <c r="H633" i="40" s="1"/>
  <c r="D632" i="40"/>
  <c r="G632" i="40" s="1"/>
  <c r="H632" i="40" s="1"/>
  <c r="D631" i="40"/>
  <c r="G631" i="40" s="1"/>
  <c r="H631" i="40" s="1"/>
  <c r="D630" i="40"/>
  <c r="G630" i="40" s="1"/>
  <c r="H630" i="40" s="1"/>
  <c r="G629" i="40"/>
  <c r="H629" i="40" s="1"/>
  <c r="G628" i="40"/>
  <c r="H628" i="40" s="1"/>
  <c r="G627" i="40"/>
  <c r="H627" i="40" s="1"/>
  <c r="G626" i="40"/>
  <c r="H626" i="40" s="1"/>
  <c r="G625" i="40"/>
  <c r="H625" i="40" s="1"/>
  <c r="D624" i="40"/>
  <c r="G624" i="40" s="1"/>
  <c r="D623" i="40"/>
  <c r="G623" i="40" s="1"/>
  <c r="H623" i="40" s="1"/>
  <c r="D622" i="40"/>
  <c r="G622" i="40" s="1"/>
  <c r="H622" i="40" s="1"/>
  <c r="D621" i="40"/>
  <c r="G621" i="40" s="1"/>
  <c r="H621" i="40" s="1"/>
  <c r="D620" i="40"/>
  <c r="G620" i="40" s="1"/>
  <c r="H620" i="40" s="1"/>
  <c r="D619" i="40"/>
  <c r="G619" i="40" s="1"/>
  <c r="H619" i="40" s="1"/>
  <c r="D600" i="40"/>
  <c r="G600" i="40" s="1"/>
  <c r="H600" i="40" s="1"/>
  <c r="D599" i="40"/>
  <c r="G599" i="40" s="1"/>
  <c r="H599" i="40" s="1"/>
  <c r="G598" i="40"/>
  <c r="H598" i="40" s="1"/>
  <c r="D597" i="40"/>
  <c r="G597" i="40" s="1"/>
  <c r="H597" i="40" s="1"/>
  <c r="G596" i="40"/>
  <c r="H596" i="40" s="1"/>
  <c r="D577" i="40"/>
  <c r="G577" i="40" s="1"/>
  <c r="H577" i="40" s="1"/>
  <c r="G594" i="40"/>
  <c r="H594" i="40" s="1"/>
  <c r="H593" i="40"/>
  <c r="H592" i="40"/>
  <c r="H591" i="40"/>
  <c r="H590" i="40"/>
  <c r="H589" i="40"/>
  <c r="G587" i="40"/>
  <c r="H587" i="40" s="1"/>
  <c r="G588" i="40"/>
  <c r="H588" i="40" s="1"/>
  <c r="D586" i="40"/>
  <c r="G586" i="40" s="1"/>
  <c r="H586" i="40" s="1"/>
  <c r="G585" i="40"/>
  <c r="H585" i="40" s="1"/>
  <c r="D584" i="40"/>
  <c r="G584" i="40" s="1"/>
  <c r="H584" i="40" s="1"/>
  <c r="G583" i="40"/>
  <c r="H583" i="40" s="1"/>
  <c r="G582" i="40"/>
  <c r="H582" i="40" s="1"/>
  <c r="G581" i="40"/>
  <c r="H581" i="40" s="1"/>
  <c r="G580" i="40"/>
  <c r="H580" i="40" s="1"/>
  <c r="G579" i="40"/>
  <c r="H579" i="40" s="1"/>
  <c r="H565" i="40"/>
  <c r="H561" i="40"/>
  <c r="H559" i="40"/>
  <c r="H555" i="40"/>
  <c r="H551" i="40"/>
  <c r="H575" i="40"/>
  <c r="H573" i="40"/>
  <c r="H571" i="40"/>
  <c r="H569" i="40"/>
  <c r="H567" i="40"/>
  <c r="H563" i="40"/>
  <c r="H557" i="40"/>
  <c r="H553" i="40"/>
  <c r="G576" i="40"/>
  <c r="H576" i="40" s="1"/>
  <c r="G574" i="40"/>
  <c r="H574" i="40" s="1"/>
  <c r="G572" i="40"/>
  <c r="H572" i="40" s="1"/>
  <c r="G570" i="40"/>
  <c r="H570" i="40" s="1"/>
  <c r="G568" i="40"/>
  <c r="H568" i="40" s="1"/>
  <c r="G566" i="40"/>
  <c r="H566" i="40" s="1"/>
  <c r="G564" i="40"/>
  <c r="H564" i="40" s="1"/>
  <c r="G562" i="40"/>
  <c r="H562" i="40" s="1"/>
  <c r="G560" i="40"/>
  <c r="G558" i="40"/>
  <c r="H558" i="40" s="1"/>
  <c r="G556" i="40"/>
  <c r="H556" i="40" s="1"/>
  <c r="G554" i="40"/>
  <c r="H554" i="40" s="1"/>
  <c r="G552" i="40"/>
  <c r="H552" i="40" s="1"/>
  <c r="G550" i="40"/>
  <c r="H550" i="40" s="1"/>
  <c r="G549" i="40"/>
  <c r="H549" i="40" s="1"/>
  <c r="G548" i="40"/>
  <c r="H548" i="40" s="1"/>
  <c r="G547" i="40"/>
  <c r="H547" i="40" s="1"/>
  <c r="G546" i="40"/>
  <c r="H546" i="40" s="1"/>
  <c r="G545" i="40"/>
  <c r="H545" i="40" s="1"/>
  <c r="G544" i="40"/>
  <c r="H544" i="40" s="1"/>
  <c r="D543" i="40"/>
  <c r="G543" i="40" s="1"/>
  <c r="H543" i="40" s="1"/>
  <c r="G542" i="40"/>
  <c r="H542" i="40" s="1"/>
  <c r="D541" i="40"/>
  <c r="G541" i="40" s="1"/>
  <c r="H541" i="40" s="1"/>
  <c r="G540" i="40"/>
  <c r="H540" i="40" s="1"/>
  <c r="G539" i="40"/>
  <c r="H539" i="40" s="1"/>
  <c r="G538" i="40"/>
  <c r="H538" i="40" s="1"/>
  <c r="G537" i="40"/>
  <c r="H537" i="40" s="1"/>
  <c r="G536" i="40"/>
  <c r="H536" i="40" s="1"/>
  <c r="G535" i="40"/>
  <c r="H535" i="40" s="1"/>
  <c r="G534" i="40"/>
  <c r="H534" i="40" s="1"/>
  <c r="G533" i="40"/>
  <c r="H533" i="40" s="1"/>
  <c r="G532" i="40"/>
  <c r="H532" i="40" s="1"/>
  <c r="H530" i="40"/>
  <c r="G529" i="40"/>
  <c r="H529" i="40" s="1"/>
  <c r="G528" i="40"/>
  <c r="H528" i="40" s="1"/>
  <c r="G525" i="40"/>
  <c r="H525" i="40" s="1"/>
  <c r="G527" i="40"/>
  <c r="H527" i="40" s="1"/>
  <c r="G526" i="40"/>
  <c r="H526" i="40" s="1"/>
  <c r="G524" i="40"/>
  <c r="H524" i="40" s="1"/>
  <c r="G523" i="40"/>
  <c r="H523" i="40" s="1"/>
  <c r="G503" i="40"/>
  <c r="H503" i="40" s="1"/>
  <c r="G502" i="40"/>
  <c r="H502" i="40" s="1"/>
  <c r="G501" i="40"/>
  <c r="H501" i="40" s="1"/>
  <c r="G500" i="40"/>
  <c r="H500" i="40" s="1"/>
  <c r="G499" i="40"/>
  <c r="H499" i="40" s="1"/>
  <c r="G498" i="40"/>
  <c r="H498" i="40" s="1"/>
  <c r="G496" i="40"/>
  <c r="H496" i="40" s="1"/>
  <c r="G494" i="40"/>
  <c r="H494" i="40" s="1"/>
  <c r="G491" i="40"/>
  <c r="H491" i="40" s="1"/>
  <c r="G497" i="40"/>
  <c r="H497" i="40" s="1"/>
  <c r="G495" i="40"/>
  <c r="H495" i="40" s="1"/>
  <c r="G493" i="40"/>
  <c r="H493" i="40" s="1"/>
  <c r="G492" i="40"/>
  <c r="H492" i="40" s="1"/>
  <c r="G490" i="40"/>
  <c r="H490" i="40" s="1"/>
  <c r="G489" i="40"/>
  <c r="H489" i="40" s="1"/>
  <c r="D488" i="40"/>
  <c r="G488" i="40" s="1"/>
  <c r="H488" i="40" s="1"/>
  <c r="G487" i="40"/>
  <c r="H487" i="40" s="1"/>
  <c r="G483" i="40"/>
  <c r="H483" i="40" s="1"/>
  <c r="G482" i="40"/>
  <c r="H482" i="40" s="1"/>
  <c r="G481" i="40"/>
  <c r="H481" i="40" s="1"/>
  <c r="G480" i="40"/>
  <c r="H480" i="40" s="1"/>
  <c r="G479" i="40"/>
  <c r="H479" i="40" s="1"/>
  <c r="G478" i="40"/>
  <c r="H478" i="40" s="1"/>
  <c r="G486" i="40"/>
  <c r="H486" i="40" s="1"/>
  <c r="D485" i="40"/>
  <c r="G485" i="40" s="1"/>
  <c r="H485" i="40" s="1"/>
  <c r="G484" i="40"/>
  <c r="H484" i="40" s="1"/>
  <c r="G477" i="40"/>
  <c r="H477" i="40" s="1"/>
  <c r="G476" i="40"/>
  <c r="H476" i="40" s="1"/>
  <c r="G475" i="40"/>
  <c r="H475" i="40" s="1"/>
  <c r="G474" i="40"/>
  <c r="H474" i="40" s="1"/>
  <c r="G472" i="40"/>
  <c r="H472" i="40" s="1"/>
  <c r="G471" i="40"/>
  <c r="H471" i="40" s="1"/>
  <c r="G470" i="40"/>
  <c r="H470" i="40" s="1"/>
  <c r="G469" i="40"/>
  <c r="H469" i="40" s="1"/>
  <c r="G468" i="40"/>
  <c r="H468" i="40" s="1"/>
  <c r="G467" i="40"/>
  <c r="H467" i="40" s="1"/>
  <c r="G466" i="40"/>
  <c r="H466" i="40" s="1"/>
  <c r="G465" i="40"/>
  <c r="H465" i="40" s="1"/>
  <c r="G464" i="40"/>
  <c r="H464" i="40" s="1"/>
  <c r="G463" i="40"/>
  <c r="H463" i="40" s="1"/>
  <c r="G462" i="40"/>
  <c r="H462" i="40" s="1"/>
  <c r="G461" i="40"/>
  <c r="H461" i="40" s="1"/>
  <c r="G460" i="40"/>
  <c r="H460" i="40" s="1"/>
  <c r="G459" i="40"/>
  <c r="H459" i="40" s="1"/>
  <c r="G458" i="40"/>
  <c r="H458" i="40" s="1"/>
  <c r="G457" i="40"/>
  <c r="H457" i="40" s="1"/>
  <c r="G454" i="40"/>
  <c r="H454" i="40" s="1"/>
  <c r="G453" i="40"/>
  <c r="H453" i="40" s="1"/>
  <c r="G456" i="40"/>
  <c r="H456" i="40" s="1"/>
  <c r="G455" i="40"/>
  <c r="H455" i="40" s="1"/>
  <c r="G450" i="40"/>
  <c r="H450" i="40" s="1"/>
  <c r="G449" i="40"/>
  <c r="H449" i="40" s="1"/>
  <c r="G452" i="40"/>
  <c r="H452" i="40" s="1"/>
  <c r="G451" i="40"/>
  <c r="H451" i="40" s="1"/>
  <c r="G448" i="40"/>
  <c r="H448" i="40" s="1"/>
  <c r="G447" i="40"/>
  <c r="H447" i="40" s="1"/>
  <c r="G446" i="40"/>
  <c r="H446" i="40" s="1"/>
  <c r="G445" i="40"/>
  <c r="H445" i="40" s="1"/>
  <c r="G444" i="40"/>
  <c r="H444" i="40" s="1"/>
  <c r="G443" i="40"/>
  <c r="H443" i="40" s="1"/>
  <c r="G442" i="40"/>
  <c r="H442" i="40" s="1"/>
  <c r="G441" i="40"/>
  <c r="H441" i="40" s="1"/>
  <c r="G440" i="40"/>
  <c r="H440" i="40" s="1"/>
  <c r="D439" i="40"/>
  <c r="G439" i="40" s="1"/>
  <c r="H439" i="40" s="1"/>
  <c r="G438" i="40"/>
  <c r="H438" i="40" s="1"/>
  <c r="D437" i="40"/>
  <c r="G437" i="40" s="1"/>
  <c r="H437" i="40" s="1"/>
  <c r="G434" i="40"/>
  <c r="H434" i="40" s="1"/>
  <c r="G436" i="40"/>
  <c r="H436" i="40" s="1"/>
  <c r="G435" i="40"/>
  <c r="H435" i="40" s="1"/>
  <c r="G431" i="40"/>
  <c r="H431" i="40" s="1"/>
  <c r="G430" i="40"/>
  <c r="H430" i="40" s="1"/>
  <c r="G433" i="40"/>
  <c r="H433" i="40" s="1"/>
  <c r="G432" i="40"/>
  <c r="H432" i="40" s="1"/>
  <c r="G429" i="40"/>
  <c r="H429" i="40" s="1"/>
  <c r="H880" i="40"/>
  <c r="H879" i="40"/>
  <c r="H1132" i="40"/>
  <c r="H1130" i="40"/>
  <c r="H1124" i="40"/>
  <c r="H1122" i="40" s="1"/>
  <c r="AC102" i="56" s="1"/>
  <c r="H1120" i="40"/>
  <c r="H1118" i="40" s="1"/>
  <c r="AC101" i="56" s="1"/>
  <c r="H1116" i="40"/>
  <c r="H1114" i="40" s="1"/>
  <c r="AC100" i="56" s="1"/>
  <c r="H1112" i="40"/>
  <c r="H1110" i="40" s="1"/>
  <c r="AC99" i="56" s="1"/>
  <c r="G1108" i="40"/>
  <c r="H1108" i="40" s="1"/>
  <c r="H1106" i="40" s="1"/>
  <c r="AC98" i="56" s="1"/>
  <c r="H1104" i="40"/>
  <c r="H1103" i="40"/>
  <c r="H1099" i="40"/>
  <c r="H1098" i="40"/>
  <c r="D1093" i="40"/>
  <c r="H877" i="40" l="1"/>
  <c r="AC91" i="56" s="1"/>
  <c r="H1126" i="40"/>
  <c r="AC103" i="56" s="1"/>
  <c r="AC94" i="56"/>
  <c r="G853" i="40"/>
  <c r="H853" i="40" s="1"/>
  <c r="H772" i="40"/>
  <c r="G856" i="40"/>
  <c r="H856" i="40" s="1"/>
  <c r="G832" i="40"/>
  <c r="H832" i="40" s="1"/>
  <c r="G847" i="40"/>
  <c r="H847" i="40" s="1"/>
  <c r="G841" i="40"/>
  <c r="H841" i="40" s="1"/>
  <c r="H624" i="40"/>
  <c r="H1101" i="40"/>
  <c r="AC97" i="56" s="1"/>
  <c r="H1095" i="40"/>
  <c r="AC96" i="56" s="1"/>
  <c r="J1018" i="40"/>
  <c r="J130" i="56" l="1"/>
  <c r="H130" i="56" l="1"/>
  <c r="B130" i="56"/>
  <c r="M229" i="66"/>
  <c r="J229" i="66"/>
  <c r="G229" i="66"/>
  <c r="D229" i="66"/>
  <c r="A229" i="66"/>
  <c r="J222" i="66"/>
  <c r="G222" i="66"/>
  <c r="M219" i="66"/>
  <c r="J219" i="66"/>
  <c r="G219" i="66"/>
  <c r="D219" i="66"/>
  <c r="D220" i="66" s="1"/>
  <c r="A219" i="66"/>
  <c r="A220" i="66" s="1"/>
  <c r="A222" i="66" s="1"/>
  <c r="M206" i="66"/>
  <c r="J206" i="66"/>
  <c r="G206" i="66"/>
  <c r="D206" i="66"/>
  <c r="A206" i="66"/>
  <c r="M196" i="66"/>
  <c r="J196" i="66"/>
  <c r="J197" i="66" s="1"/>
  <c r="J199" i="66" s="1"/>
  <c r="G196" i="66"/>
  <c r="G197" i="66" s="1"/>
  <c r="G199" i="66" s="1"/>
  <c r="D196" i="66"/>
  <c r="D197" i="66" s="1"/>
  <c r="A196" i="66"/>
  <c r="A197" i="66" s="1"/>
  <c r="A199" i="66" s="1"/>
  <c r="A173" i="66"/>
  <c r="A174" i="66" s="1"/>
  <c r="A176" i="66" s="1"/>
  <c r="M183" i="66"/>
  <c r="J183" i="66"/>
  <c r="G183" i="66"/>
  <c r="D183" i="66"/>
  <c r="A183" i="66"/>
  <c r="M173" i="66"/>
  <c r="J173" i="66"/>
  <c r="J174" i="66" s="1"/>
  <c r="G173" i="66"/>
  <c r="G174" i="66" s="1"/>
  <c r="G176" i="66" s="1"/>
  <c r="D173" i="66"/>
  <c r="D174" i="66" s="1"/>
  <c r="M161" i="66"/>
  <c r="J161" i="66"/>
  <c r="G161" i="66"/>
  <c r="D161" i="66"/>
  <c r="A161" i="66"/>
  <c r="M151" i="66"/>
  <c r="J151" i="66"/>
  <c r="J154" i="66" s="1"/>
  <c r="G151" i="66"/>
  <c r="G152" i="66" s="1"/>
  <c r="D151" i="66"/>
  <c r="D152" i="66" s="1"/>
  <c r="A151" i="66"/>
  <c r="A152" i="66" s="1"/>
  <c r="A154" i="66" s="1"/>
  <c r="M138" i="66"/>
  <c r="J138" i="66"/>
  <c r="G138" i="66"/>
  <c r="D138" i="66"/>
  <c r="A138" i="66"/>
  <c r="M128" i="66"/>
  <c r="J128" i="66"/>
  <c r="J129" i="66" s="1"/>
  <c r="J131" i="66" s="1"/>
  <c r="G128" i="66"/>
  <c r="G129" i="66" s="1"/>
  <c r="G131" i="66" s="1"/>
  <c r="D128" i="66"/>
  <c r="D129" i="66" s="1"/>
  <c r="D131" i="66" s="1"/>
  <c r="A128" i="66"/>
  <c r="A129" i="66" s="1"/>
  <c r="M116" i="66"/>
  <c r="J116" i="66"/>
  <c r="G116" i="66"/>
  <c r="D116" i="66"/>
  <c r="A116" i="66"/>
  <c r="M106" i="66"/>
  <c r="J106" i="66"/>
  <c r="J107" i="66" s="1"/>
  <c r="J109" i="66" s="1"/>
  <c r="G106" i="66"/>
  <c r="G107" i="66" s="1"/>
  <c r="G109" i="66" s="1"/>
  <c r="D106" i="66"/>
  <c r="D107" i="66" s="1"/>
  <c r="D109" i="66" s="1"/>
  <c r="A106" i="66"/>
  <c r="A107" i="66" s="1"/>
  <c r="A109" i="66" s="1"/>
  <c r="M93" i="66"/>
  <c r="J93" i="66"/>
  <c r="G93" i="66"/>
  <c r="D93" i="66"/>
  <c r="A93" i="66"/>
  <c r="M86" i="66"/>
  <c r="J86" i="66"/>
  <c r="G86" i="66"/>
  <c r="D86" i="66"/>
  <c r="A86" i="66"/>
  <c r="A87" i="66" s="1"/>
  <c r="C96" i="66" s="1"/>
  <c r="G67" i="66"/>
  <c r="G68" i="66" s="1"/>
  <c r="M74" i="66"/>
  <c r="J74" i="66"/>
  <c r="G74" i="66"/>
  <c r="D74" i="66"/>
  <c r="A74" i="66"/>
  <c r="M67" i="66"/>
  <c r="J67" i="66"/>
  <c r="D67" i="66"/>
  <c r="D68" i="66" s="1"/>
  <c r="A67" i="66"/>
  <c r="A68" i="66" s="1"/>
  <c r="A47" i="66"/>
  <c r="A48" i="66" s="1"/>
  <c r="M54" i="66"/>
  <c r="J54" i="66"/>
  <c r="G54" i="66"/>
  <c r="D54" i="66"/>
  <c r="A54" i="66"/>
  <c r="M47" i="66"/>
  <c r="J47" i="66"/>
  <c r="G47" i="66"/>
  <c r="D47" i="66"/>
  <c r="D48" i="66" s="1"/>
  <c r="D222" i="66" l="1"/>
  <c r="C232" i="66" s="1"/>
  <c r="D199" i="66"/>
  <c r="C209" i="66" s="1"/>
  <c r="J176" i="66"/>
  <c r="D176" i="66"/>
  <c r="G154" i="66"/>
  <c r="D154" i="66"/>
  <c r="A131" i="66"/>
  <c r="C141" i="66" s="1"/>
  <c r="C119" i="66"/>
  <c r="C77" i="66"/>
  <c r="C57" i="66"/>
  <c r="C186" i="66" l="1"/>
  <c r="C164" i="66"/>
  <c r="M34" i="66" l="1"/>
  <c r="J34" i="66"/>
  <c r="G34" i="66"/>
  <c r="D34" i="66"/>
  <c r="A34" i="66"/>
  <c r="M27" i="66"/>
  <c r="J27" i="66"/>
  <c r="G27" i="66"/>
  <c r="G28" i="66" s="1"/>
  <c r="D27" i="66"/>
  <c r="D28" i="66" s="1"/>
  <c r="A27" i="66"/>
  <c r="A28" i="66" s="1"/>
  <c r="A8" i="66"/>
  <c r="A9" i="66" s="1"/>
  <c r="C37" i="66" l="1"/>
  <c r="M15" i="66"/>
  <c r="M16" i="66" s="1"/>
  <c r="J15" i="66"/>
  <c r="J16" i="66" s="1"/>
  <c r="G15" i="66"/>
  <c r="G16" i="66" s="1"/>
  <c r="D15" i="66"/>
  <c r="D16" i="66" s="1"/>
  <c r="A15" i="66"/>
  <c r="A16" i="66" s="1"/>
  <c r="M8" i="66"/>
  <c r="M9" i="66" s="1"/>
  <c r="J8" i="66"/>
  <c r="J9" i="66" s="1"/>
  <c r="G8" i="66"/>
  <c r="G9" i="66" s="1"/>
  <c r="D8" i="66"/>
  <c r="D9" i="66" s="1"/>
  <c r="C18" i="66" l="1"/>
  <c r="H127" i="56" l="1"/>
  <c r="H126" i="56"/>
  <c r="B127" i="56" l="1"/>
  <c r="J127" i="56" l="1"/>
  <c r="I127" i="56" s="1"/>
  <c r="B126" i="56" l="1"/>
  <c r="J126" i="56" l="1"/>
  <c r="I126" i="56" s="1"/>
  <c r="H144" i="56"/>
  <c r="J120" i="56" l="1"/>
  <c r="G15" i="40" l="1"/>
  <c r="H15" i="40" s="1"/>
  <c r="I15" i="56" l="1"/>
  <c r="AC15" i="56"/>
  <c r="B23" i="56"/>
  <c r="H23" i="56"/>
  <c r="B24" i="56"/>
  <c r="I23" i="56" l="1"/>
  <c r="AC23" i="56"/>
  <c r="H118" i="56"/>
  <c r="H113" i="56"/>
  <c r="B113" i="56"/>
  <c r="B118" i="56"/>
  <c r="G1185" i="40" l="1"/>
  <c r="H1185" i="40" s="1"/>
  <c r="H1183" i="40" s="1"/>
  <c r="H117" i="56"/>
  <c r="B117" i="56"/>
  <c r="G1181" i="40"/>
  <c r="H1181" i="40" s="1"/>
  <c r="H1179" i="40" s="1"/>
  <c r="H116" i="56"/>
  <c r="H115" i="56"/>
  <c r="B116" i="56"/>
  <c r="B115" i="56"/>
  <c r="G1177" i="40"/>
  <c r="H1177" i="40" s="1"/>
  <c r="H1175" i="40" s="1"/>
  <c r="H114" i="56"/>
  <c r="H112" i="56"/>
  <c r="H111" i="56"/>
  <c r="B114" i="56"/>
  <c r="B112" i="56"/>
  <c r="G1173" i="40"/>
  <c r="H1173" i="40" s="1"/>
  <c r="G1169" i="40"/>
  <c r="H1169" i="40" s="1"/>
  <c r="G1161" i="40"/>
  <c r="H1161" i="40" s="1"/>
  <c r="G1165" i="40"/>
  <c r="H1165" i="40" s="1"/>
  <c r="B110" i="56"/>
  <c r="B106" i="56"/>
  <c r="H1171" i="40" l="1"/>
  <c r="AC115" i="56" s="1"/>
  <c r="H1163" i="40"/>
  <c r="AC113" i="56" s="1"/>
  <c r="H1159" i="40"/>
  <c r="AC112" i="56" s="1"/>
  <c r="I118" i="56"/>
  <c r="AC118" i="56"/>
  <c r="I116" i="56"/>
  <c r="AC116" i="56"/>
  <c r="I117" i="56"/>
  <c r="AC117" i="56"/>
  <c r="H1167" i="40"/>
  <c r="B111" i="56"/>
  <c r="G1157" i="40"/>
  <c r="H1157" i="40" s="1"/>
  <c r="H1155" i="40" l="1"/>
  <c r="AC111" i="56" s="1"/>
  <c r="I112" i="56"/>
  <c r="I113" i="56"/>
  <c r="I115" i="56"/>
  <c r="I114" i="56"/>
  <c r="AC114" i="56"/>
  <c r="J131" i="56"/>
  <c r="I111" i="56" l="1"/>
  <c r="J123" i="56"/>
  <c r="J122" i="56"/>
  <c r="H92" i="56" l="1"/>
  <c r="H91" i="56"/>
  <c r="B92" i="56"/>
  <c r="B91" i="56"/>
  <c r="I91" i="56"/>
  <c r="G1093" i="40" l="1"/>
  <c r="H1093" i="40" s="1"/>
  <c r="G1092" i="40"/>
  <c r="H1092" i="40" s="1"/>
  <c r="G428" i="40"/>
  <c r="H428" i="40" s="1"/>
  <c r="H426" i="40" l="1"/>
  <c r="E1436" i="40" s="1"/>
  <c r="H1436" i="40" s="1"/>
  <c r="H1433" i="40" s="1"/>
  <c r="H882" i="40"/>
  <c r="J426" i="40"/>
  <c r="H1089" i="40"/>
  <c r="AC89" i="56" l="1"/>
  <c r="I92" i="56"/>
  <c r="AC92" i="56"/>
  <c r="I94" i="56"/>
  <c r="AC95" i="56"/>
  <c r="I93" i="56"/>
  <c r="AC93" i="56"/>
  <c r="I89" i="56"/>
  <c r="I131" i="56" l="1"/>
  <c r="J121" i="56" l="1"/>
  <c r="I121" i="56" l="1"/>
  <c r="B122" i="56" l="1"/>
  <c r="I130" i="56" l="1"/>
  <c r="I122" i="56" l="1"/>
  <c r="I18" i="56" l="1"/>
  <c r="AC18" i="56"/>
  <c r="H122" i="56"/>
  <c r="H121" i="56" l="1"/>
  <c r="B121" i="56"/>
  <c r="H133" i="56" l="1"/>
  <c r="B133" i="56"/>
  <c r="I133" i="56"/>
  <c r="H132" i="56"/>
  <c r="B132" i="56"/>
  <c r="I132" i="56"/>
  <c r="H120" i="56" l="1"/>
  <c r="B120" i="56"/>
  <c r="H94" i="56"/>
  <c r="H93" i="56"/>
  <c r="B93" i="56"/>
  <c r="I120" i="56" l="1"/>
  <c r="H18" i="56" l="1"/>
  <c r="B18" i="56"/>
  <c r="H131" i="56" l="1"/>
  <c r="H123" i="56"/>
  <c r="H109" i="56"/>
  <c r="H108" i="56"/>
  <c r="H107" i="56"/>
  <c r="H89" i="56"/>
  <c r="H22" i="56"/>
  <c r="H21" i="56"/>
  <c r="H20" i="56"/>
  <c r="H15" i="56"/>
  <c r="H14" i="56"/>
  <c r="B88" i="56" l="1"/>
  <c r="B89" i="56" l="1"/>
  <c r="B144" i="56" l="1"/>
  <c r="B131" i="56"/>
  <c r="B123" i="56"/>
  <c r="B119" i="56"/>
  <c r="B109" i="56" l="1"/>
  <c r="B108" i="56"/>
  <c r="B107" i="56"/>
  <c r="B105" i="56"/>
  <c r="G13" i="40"/>
  <c r="H13" i="40" s="1"/>
  <c r="B22" i="56"/>
  <c r="B21" i="56"/>
  <c r="B20" i="56"/>
  <c r="B19" i="56"/>
  <c r="B15" i="56"/>
  <c r="B13" i="56"/>
  <c r="B5" i="56"/>
  <c r="I14" i="56" l="1"/>
  <c r="AC14" i="56"/>
  <c r="J21" i="56" l="1"/>
  <c r="J20" i="56"/>
  <c r="D165" i="40" l="1"/>
  <c r="AC20" i="56"/>
  <c r="I20" i="56" s="1"/>
  <c r="I144" i="56" l="1"/>
  <c r="AC144" i="56"/>
  <c r="G1152" i="40"/>
  <c r="H1152" i="40" s="1"/>
  <c r="H1150" i="40" s="1"/>
  <c r="G165" i="40"/>
  <c r="H165" i="40" s="1"/>
  <c r="H162" i="40" s="1"/>
  <c r="I109" i="56" l="1"/>
  <c r="AC109" i="56"/>
  <c r="G1143" i="40"/>
  <c r="H1143" i="40" s="1"/>
  <c r="H1141" i="40" s="1"/>
  <c r="I107" i="56" l="1"/>
  <c r="AC107" i="56"/>
  <c r="AC21" i="56"/>
  <c r="I21" i="56" s="1"/>
  <c r="G1147" i="40" l="1"/>
  <c r="H1147" i="40" s="1"/>
  <c r="H1145" i="40" s="1"/>
  <c r="I108" i="56" l="1"/>
  <c r="AC108" i="56"/>
  <c r="G169" i="40"/>
  <c r="H169" i="40" l="1"/>
  <c r="H167" i="40" l="1"/>
  <c r="I22" i="56" l="1"/>
  <c r="AC22" i="56"/>
  <c r="AC123" i="56"/>
  <c r="I123" i="56" s="1"/>
</calcChain>
</file>

<file path=xl/sharedStrings.xml><?xml version="1.0" encoding="utf-8"?>
<sst xmlns="http://schemas.openxmlformats.org/spreadsheetml/2006/main" count="2886" uniqueCount="788">
  <si>
    <t>TRABAJOS PRELIMINARES</t>
  </si>
  <si>
    <t>m3</t>
  </si>
  <si>
    <t>m2</t>
  </si>
  <si>
    <t xml:space="preserve">PLANILLA DE METRADOS  </t>
  </si>
  <si>
    <t>ENTIDAD</t>
  </si>
  <si>
    <t>LUGAR</t>
  </si>
  <si>
    <t>PROYECTO</t>
  </si>
  <si>
    <t>Global</t>
  </si>
  <si>
    <t>und</t>
  </si>
  <si>
    <t>m</t>
  </si>
  <si>
    <t>Area de influencia de proyecto</t>
  </si>
  <si>
    <t>area de autocad</t>
  </si>
  <si>
    <t>Limpieza inicial de obra</t>
  </si>
  <si>
    <t>Señalización temporal en obra.</t>
  </si>
  <si>
    <t>GOBIERNO REGIONAL DE TUMBES</t>
  </si>
  <si>
    <t>SUB.PRES.</t>
  </si>
  <si>
    <t>BLOQUE I</t>
  </si>
  <si>
    <t>BLOQUE II</t>
  </si>
  <si>
    <t xml:space="preserve">RESUMEN DE METRADOS </t>
  </si>
  <si>
    <t>OBRA:</t>
  </si>
  <si>
    <t>ENTIDAD:</t>
  </si>
  <si>
    <t>LUGAR:</t>
  </si>
  <si>
    <t>FECHA:</t>
  </si>
  <si>
    <t>DECRIPCIÓN</t>
  </si>
  <si>
    <t>UND</t>
  </si>
  <si>
    <t>esponja.</t>
  </si>
  <si>
    <t>SUB. PRES.</t>
  </si>
  <si>
    <t>Und</t>
  </si>
  <si>
    <t>Demolicion de edificacion existente c/ Maquinaria</t>
  </si>
  <si>
    <t>Desmontaje de cobertura en edificacion existente</t>
  </si>
  <si>
    <t>ml</t>
  </si>
  <si>
    <t>Glb</t>
  </si>
  <si>
    <t>Trazo, niveles y replanteo</t>
  </si>
  <si>
    <t>Cerco Provisional en Obra de Calamina Galvanizada h=2.20m</t>
  </si>
  <si>
    <t>Partida</t>
  </si>
  <si>
    <t>Especificaciones</t>
  </si>
  <si>
    <t>Nº veces</t>
  </si>
  <si>
    <t>Medidas</t>
  </si>
  <si>
    <t>Parcial</t>
  </si>
  <si>
    <t>Total</t>
  </si>
  <si>
    <t>Unidad</t>
  </si>
  <si>
    <t>Largo</t>
  </si>
  <si>
    <t>Ancho</t>
  </si>
  <si>
    <t>Altura</t>
  </si>
  <si>
    <t>1.02.02</t>
  </si>
  <si>
    <t>1.02.03</t>
  </si>
  <si>
    <t>1.03.01</t>
  </si>
  <si>
    <t>1.03.02</t>
  </si>
  <si>
    <t>Cobertura existente a desmontar</t>
  </si>
  <si>
    <t>Desmontaje de cerco, ventanas y puertas metalicas</t>
  </si>
  <si>
    <t>ventanas existetes</t>
  </si>
  <si>
    <t xml:space="preserve">Demolicion </t>
  </si>
  <si>
    <t>excavacion maq.</t>
  </si>
  <si>
    <t>AUTOCAD</t>
  </si>
  <si>
    <t>1.05.01</t>
  </si>
  <si>
    <t>1.05.02</t>
  </si>
  <si>
    <t>EN ESCALERA</t>
  </si>
  <si>
    <t>1.02.04</t>
  </si>
  <si>
    <t>BLOQUE IV</t>
  </si>
  <si>
    <t>TOTAL DE METRADOS</t>
  </si>
  <si>
    <t>Vereda</t>
  </si>
  <si>
    <t>ventanas altas existentes</t>
  </si>
  <si>
    <t>Equipo de proteccion colectiva</t>
  </si>
  <si>
    <t>1.03.01.01</t>
  </si>
  <si>
    <t>Equipo de proteccion individual</t>
  </si>
  <si>
    <t>1.03.01.02</t>
  </si>
  <si>
    <t>1.03.01.03</t>
  </si>
  <si>
    <t>1.03.02.01</t>
  </si>
  <si>
    <t>Equipo de proteccion individual para personal de obra</t>
  </si>
  <si>
    <t>1.03.02.02</t>
  </si>
  <si>
    <t>Mes</t>
  </si>
  <si>
    <t>mes</t>
  </si>
  <si>
    <t>1.03.02.03</t>
  </si>
  <si>
    <t>Equipo de proteccion individual para personal de salud</t>
  </si>
  <si>
    <t>Equipo de proteccion individual para direccion de obra</t>
  </si>
  <si>
    <t>1.03.02.04</t>
  </si>
  <si>
    <t>1.03.02.05</t>
  </si>
  <si>
    <t>1.03.02.06</t>
  </si>
  <si>
    <t>Identificación de sintomatología covid-19 periódicamente al ingreso de Obra</t>
  </si>
  <si>
    <t>1.03.02.07</t>
  </si>
  <si>
    <t>1.03.02.08</t>
  </si>
  <si>
    <t>Equipamiento para desinfección de áreas comunes</t>
  </si>
  <si>
    <t xml:space="preserve">Equipamiento para vigilancia de la salud del trabajador </t>
  </si>
  <si>
    <t>PLAN PARA LA PREVENCION Y CONTROL ANTE LA COVID-19 EN OBRA</t>
  </si>
  <si>
    <t>kit para lavado y desinfeccion de personal</t>
  </si>
  <si>
    <t xml:space="preserve">SEGURIDAD EN OBRA </t>
  </si>
  <si>
    <t xml:space="preserve">SEGURIDAD EN OBRA Y PLAN PARA LA VIGILANCIA, PREVENCION Y CONTROL DE LA COVID-19 </t>
  </si>
  <si>
    <t>DEMOLICION Y DESMONTAJE</t>
  </si>
  <si>
    <t>en area de influencia de proyecto</t>
  </si>
  <si>
    <t>1.02.05</t>
  </si>
  <si>
    <t>1.02.06</t>
  </si>
  <si>
    <t>1.02.06.01</t>
  </si>
  <si>
    <t>1.02.06.02</t>
  </si>
  <si>
    <t>1.02.06.03</t>
  </si>
  <si>
    <t>1.02.06.04</t>
  </si>
  <si>
    <t>1.02.06.05</t>
  </si>
  <si>
    <t>BLOQUE I - Laboratorio</t>
  </si>
  <si>
    <t>BLOQUE III</t>
  </si>
  <si>
    <t>BLOQUE VI</t>
  </si>
  <si>
    <t>BLOQUE VII</t>
  </si>
  <si>
    <t>BLOQUE IX</t>
  </si>
  <si>
    <t>BLOQUE V</t>
  </si>
  <si>
    <t>BLOQUE X</t>
  </si>
  <si>
    <t>BLOQUE XI</t>
  </si>
  <si>
    <t>BLOQUE XII</t>
  </si>
  <si>
    <t>BLOQUE XIV</t>
  </si>
  <si>
    <t>BLOQUE XV</t>
  </si>
  <si>
    <t>BLOQUE XVI</t>
  </si>
  <si>
    <t>BLOQUE XVII</t>
  </si>
  <si>
    <t>BLOQUE XVIII</t>
  </si>
  <si>
    <t>BLOQUE XIX</t>
  </si>
  <si>
    <t>PUENTE I</t>
  </si>
  <si>
    <t>PUENTE II</t>
  </si>
  <si>
    <t>Losa Deportiva 01</t>
  </si>
  <si>
    <t>Losa Deportiva 02</t>
  </si>
  <si>
    <t xml:space="preserve">BLOQUE I </t>
  </si>
  <si>
    <t>Tribunas</t>
  </si>
  <si>
    <t>MURO TIPO 1 -DESDE PROGRESIVA 0+000.00 HASTA 0+107.30</t>
  </si>
  <si>
    <t>MURO TIPO 2 -DESDE PROGRESIVA 0+107.30 HASTA 0+132.23</t>
  </si>
  <si>
    <t>MURO TIPO 1 -DESDE PROGRESIVA 0+132.23 HASTA 0+152.47</t>
  </si>
  <si>
    <t>MURO TIPO 2 -DESDE PROGRESIVA 0+152.47 HASTA 0+179.68</t>
  </si>
  <si>
    <t>MURO TIPO 1 -DESDE PROGRESIVA 0+179.68 HASTA 0+191.09</t>
  </si>
  <si>
    <t>MURO TIPO 2 -DESDE PROGRESIVA 0+191.09 HASTA 0+319.60</t>
  </si>
  <si>
    <t>MURO TIPO 1 -DESDE PROGRESIVA 0+319.60 HASTA 0+413.15</t>
  </si>
  <si>
    <t>CERCO PERIMETRIMETRICO</t>
  </si>
  <si>
    <t>MURO TIPO 2 -DESDE PROGRESIVA 0+413.15 HASTA 0+424.88</t>
  </si>
  <si>
    <t>MURO TIPO 1 -DESDE PROGRESIVA 0+424.88 HASTA 0+435</t>
  </si>
  <si>
    <t>MURO TIPO 1 -DESDE PROGRESIVA 0+442.08 HASTA 0+509.57</t>
  </si>
  <si>
    <t>MURO TIPO 1 -DESDE PROGRESIVA 0+523.94 HASTA 0+666.48</t>
  </si>
  <si>
    <t>MURO TIPO 2 -DESDE PROGRESIVA 0+680.67 HASTA 0+701.29</t>
  </si>
  <si>
    <t>CERCO PERIMETRICO INGRESOS EN BLOQUE 7 Y INGRESO 02</t>
  </si>
  <si>
    <t>BLOQUE 7</t>
  </si>
  <si>
    <t>INGRESO EN BLOQUE 7 - NIVEL PRIMARIA</t>
  </si>
  <si>
    <t>INGRESO 2 - NIVEL SECUNDARIA</t>
  </si>
  <si>
    <t xml:space="preserve">CASETA Y PORTICO </t>
  </si>
  <si>
    <t>TRAMO 1</t>
  </si>
  <si>
    <t>TRAMO 2</t>
  </si>
  <si>
    <t>TRAMO 3</t>
  </si>
  <si>
    <t>TRAMO 4</t>
  </si>
  <si>
    <t>TRAMO 5</t>
  </si>
  <si>
    <t xml:space="preserve">LONG. INCIAL </t>
  </si>
  <si>
    <t>REUBRIMIENTO</t>
  </si>
  <si>
    <t>LONG. TOTAL</t>
  </si>
  <si>
    <t>TRAMO 6</t>
  </si>
  <si>
    <t>TRAMO 7</t>
  </si>
  <si>
    <t>TRAMO 8</t>
  </si>
  <si>
    <t>TRAMO 9</t>
  </si>
  <si>
    <t>TRAMO 10</t>
  </si>
  <si>
    <t>TRANSLAP Ø 3/8"</t>
  </si>
  <si>
    <t>DOBLES 90</t>
  </si>
  <si>
    <t>TOTAL DE LONGITUD</t>
  </si>
  <si>
    <t>veses</t>
  </si>
  <si>
    <t>total</t>
  </si>
  <si>
    <t>BLOQUE RAMPA Y PUENTE 5</t>
  </si>
  <si>
    <t>RAMPA Y PUENTE 5</t>
  </si>
  <si>
    <t>PUENTE 8</t>
  </si>
  <si>
    <t>PUENTE 7</t>
  </si>
  <si>
    <t>ESCALERA 1</t>
  </si>
  <si>
    <t>ESCALERA 2</t>
  </si>
  <si>
    <t>PUENTE 6</t>
  </si>
  <si>
    <t>PUENTE 3 Y 4</t>
  </si>
  <si>
    <t>EN BLOQUE 1</t>
  </si>
  <si>
    <t>EN AULAS 1ER NIVEL</t>
  </si>
  <si>
    <t>Puertas existentes</t>
  </si>
  <si>
    <t>EN OFICINA 1ER NIVEL</t>
  </si>
  <si>
    <t>EN DEPOSITOS 1ER NIVEL</t>
  </si>
  <si>
    <t>EN AULA 1ER NIVEL</t>
  </si>
  <si>
    <t>ventanas existentes</t>
  </si>
  <si>
    <t>EN DIRECCION 1ER NIVEL</t>
  </si>
  <si>
    <t>EN SS HH H Y M 1ER NIVEL</t>
  </si>
  <si>
    <t>EN AULAS 2DO NIVEL</t>
  </si>
  <si>
    <t>EN BLOQUE 2  1ER NIVEL</t>
  </si>
  <si>
    <t xml:space="preserve">EN BLOQUE 3 </t>
  </si>
  <si>
    <t>Area</t>
  </si>
  <si>
    <t>Rejas existentes</t>
  </si>
  <si>
    <t>EN BLOQUE 4</t>
  </si>
  <si>
    <t>EN LABORATORIO 1ER NIVEL</t>
  </si>
  <si>
    <t>EN BLOQUE 5</t>
  </si>
  <si>
    <t>EN BLOQUE 6</t>
  </si>
  <si>
    <t>EN SS HH H Y M  1ER NIVEL</t>
  </si>
  <si>
    <t>EN BLOQUE 7A Y 7B</t>
  </si>
  <si>
    <t>EN BLOQUE 8</t>
  </si>
  <si>
    <t>EN BLOQUE 9</t>
  </si>
  <si>
    <t>EN BLOQUE 10</t>
  </si>
  <si>
    <t>EN BLOQUE 11</t>
  </si>
  <si>
    <t>EN LABORATORIO DE MATEMATICAS  1ER NIVEL</t>
  </si>
  <si>
    <t>EN BLOQUE 12A Y 12B</t>
  </si>
  <si>
    <t>EN AULAS  1ER NIVEL</t>
  </si>
  <si>
    <t>EN ALMACENES DE CALAMINA</t>
  </si>
  <si>
    <t>EN CERCO PERIMETRICO</t>
  </si>
  <si>
    <t>Puertas existentes (Av. El Ejercito)</t>
  </si>
  <si>
    <t>Puertas existentes (Av. Tumbes)</t>
  </si>
  <si>
    <t>Puertas existentes (calle 28 de Julio)</t>
  </si>
  <si>
    <t>Desmontaje de aula de Drywall  existente Manual</t>
  </si>
  <si>
    <t>Descontar Area de Puertas y Ventanas</t>
  </si>
  <si>
    <t>EN BLOQUE 13</t>
  </si>
  <si>
    <t>Aulas</t>
  </si>
  <si>
    <t>En Rampas</t>
  </si>
  <si>
    <t>Lado posterior Bloque 3 Rejas existentes</t>
  </si>
  <si>
    <t>Lado Lateral Bloque 4 Rejas existentes</t>
  </si>
  <si>
    <t>Entre Bloque 3 y 4  Rejas existentes</t>
  </si>
  <si>
    <t>EN BLOQUE 3</t>
  </si>
  <si>
    <t>1.02.06.07</t>
  </si>
  <si>
    <t>EN PATIO CENTRAL</t>
  </si>
  <si>
    <t>Desmontaje de Cantoneras Metalicas  existente Manual</t>
  </si>
  <si>
    <t>En Escalera</t>
  </si>
  <si>
    <t>1.02.06.08</t>
  </si>
  <si>
    <t>Desmontaje de Pasamanos  Metalicas  existente Manual</t>
  </si>
  <si>
    <t>1.02.06.09</t>
  </si>
  <si>
    <t>Desmontaje de Grutas y bustos   existente Manual</t>
  </si>
  <si>
    <t>1.02.06.10</t>
  </si>
  <si>
    <t>Desmontaje de Asta de Bandera  existente Manual</t>
  </si>
  <si>
    <t>EN TANQUE ELEVADO</t>
  </si>
  <si>
    <t>1.02.06.11</t>
  </si>
  <si>
    <t>1.02.06.12</t>
  </si>
  <si>
    <t>Desmontaje de Parantes de madera   existente Manual</t>
  </si>
  <si>
    <t>1.02.06.13</t>
  </si>
  <si>
    <t>Desmontaje de Tijerales Metalicos   existente Manual</t>
  </si>
  <si>
    <t>EN BLOQUE 04</t>
  </si>
  <si>
    <t>EN BLOQUE 09</t>
  </si>
  <si>
    <t>En Escalera Rejas existentes</t>
  </si>
  <si>
    <t>Desmontaje de depositos para basura  existente Manual</t>
  </si>
  <si>
    <t>Desmontaje de Aparatos Sanitarios  existentes manual</t>
  </si>
  <si>
    <t>Ovalines</t>
  </si>
  <si>
    <t xml:space="preserve">EN SS HH </t>
  </si>
  <si>
    <t>Inodoros</t>
  </si>
  <si>
    <t>EJE 1-1 Muro Transversal</t>
  </si>
  <si>
    <t>EJE 3-3 Muro Transversal</t>
  </si>
  <si>
    <t>EJE 6-6 Muro Transversal</t>
  </si>
  <si>
    <t>EJE 5-5 Muro Transversal</t>
  </si>
  <si>
    <t>EJE 8-8 Muro Transversal</t>
  </si>
  <si>
    <t>EJE 10-10 Muro Transversal</t>
  </si>
  <si>
    <t>EJE 10'-10' Muro Transversal</t>
  </si>
  <si>
    <t>EJE 12-12 Muro Transversal</t>
  </si>
  <si>
    <t>EJE 16-16 Muro Transversal</t>
  </si>
  <si>
    <t>EJE 19-19 Muro Transversal</t>
  </si>
  <si>
    <t>EN BLOQUE 1  EN AULAS PRIMER NIVEL</t>
  </si>
  <si>
    <t xml:space="preserve">EJE A-A   Muro Longitudinal Posterior </t>
  </si>
  <si>
    <t xml:space="preserve">EJE C-C  Muro Longitudinal Frontal </t>
  </si>
  <si>
    <t xml:space="preserve">EJE D-D Muro Longitudinal Frontal </t>
  </si>
  <si>
    <t xml:space="preserve">EJE F-F   Muro Longitudinal Posterior </t>
  </si>
  <si>
    <t xml:space="preserve">EJE 14-14   Muro Longitudinal Posterior </t>
  </si>
  <si>
    <t xml:space="preserve">EN BLOQUE 1  EN DIRECCION Y AULAS PRIMER NIVEL </t>
  </si>
  <si>
    <t>EJE 16-16   Muro Longitudinal  Frontal</t>
  </si>
  <si>
    <t>ENTRE EJE 14-14 Y 16-16   Muros interiores</t>
  </si>
  <si>
    <t>ENTRE EJE 16-16 Y 17-17   Muros interiores</t>
  </si>
  <si>
    <t>EJE 17-17   Muro Longitudinal  Frontal</t>
  </si>
  <si>
    <t>EJE 21-21   Muro Longitudinal  Frontal</t>
  </si>
  <si>
    <t>EJE G-G Muro Transversal</t>
  </si>
  <si>
    <t>ENTRE EJE G-G Y H-H  Muro Transversal</t>
  </si>
  <si>
    <t>EJE H-H  Muro Transversal</t>
  </si>
  <si>
    <t>EJE I-I  Muro Transversal</t>
  </si>
  <si>
    <t>EJE J-J  Muro Transversal</t>
  </si>
  <si>
    <t>EJE K-K  Muro Transversal</t>
  </si>
  <si>
    <t xml:space="preserve">EN BLOQUE 1  EN  AULA PRIMER NIVEL </t>
  </si>
  <si>
    <t>EJE 22-22  Muro Longitudinal  Frontal</t>
  </si>
  <si>
    <t>En Cerco Perimertico  Muro Longitudinal  Posterior</t>
  </si>
  <si>
    <t xml:space="preserve">  Muros Transversales</t>
  </si>
  <si>
    <t>EN BLOQUE 1  EN AULAS SEGUNDO NIVEL</t>
  </si>
  <si>
    <t xml:space="preserve">EN BLOQUE 1  EN DIRECCION Y AULAS SEGUNDO NIVEL </t>
  </si>
  <si>
    <t>EJE 21-21   Muro Longitudinal  Posterior</t>
  </si>
  <si>
    <t>En cobertura de Bloque</t>
  </si>
  <si>
    <t xml:space="preserve">EN BLOQUE 1  EN PASADIZOS SEGUNDO NIVEL </t>
  </si>
  <si>
    <t>EJE 1-1</t>
  </si>
  <si>
    <t>EJE 16-16</t>
  </si>
  <si>
    <t>EJE 17-17</t>
  </si>
  <si>
    <t>EJE 18-18</t>
  </si>
  <si>
    <t>En cobertura de Pasadizos</t>
  </si>
  <si>
    <t>Bancas</t>
  </si>
  <si>
    <t>Esacalinatas</t>
  </si>
  <si>
    <t>Losa Aligerada 1er Nivel</t>
  </si>
  <si>
    <t>Losa Aligerada 2do Nivel</t>
  </si>
  <si>
    <t>Losa Aligerada Pasadizo  2do Nivel</t>
  </si>
  <si>
    <t>EN BLOQUE 1  EN ESTRUCTURAS</t>
  </si>
  <si>
    <t xml:space="preserve">Pisos Interiores </t>
  </si>
  <si>
    <t>En Columnas</t>
  </si>
  <si>
    <t>En vigas Primer Nivel</t>
  </si>
  <si>
    <t>En vigas Segundo  Nivel</t>
  </si>
  <si>
    <t>EN BLOQUE 2  EN SS HH  PRIMER NIVEL</t>
  </si>
  <si>
    <t xml:space="preserve">EJE A-A </t>
  </si>
  <si>
    <t>EJE B-B</t>
  </si>
  <si>
    <t xml:space="preserve">EJE C-C </t>
  </si>
  <si>
    <t>EJE 1-1 AL EJE 3-3</t>
  </si>
  <si>
    <t>EN BLOQUE 4  EN LABORATORIO  PRIMER NIVEL</t>
  </si>
  <si>
    <t>EJEC-C</t>
  </si>
  <si>
    <t>EJE 1-1 AL EJE 7-7</t>
  </si>
  <si>
    <t>EN BLOQUE 2  EN ESTRUCTURAS</t>
  </si>
  <si>
    <t>EN BLOQUE 4  EN ESTRUCTURAS</t>
  </si>
  <si>
    <t>Mesas de trabajo</t>
  </si>
  <si>
    <t>Esacalinatas Bloque 3</t>
  </si>
  <si>
    <t>Esacalinatas Bloque 4</t>
  </si>
  <si>
    <t>EJE 1-1   AL 3-3</t>
  </si>
  <si>
    <t>EN BLOQUE 5  EN ESTRUCTURAS</t>
  </si>
  <si>
    <t>EN BLOQUE 5  EN AULAS  PRIMER NIVEL</t>
  </si>
  <si>
    <t>EN BLOQUE 6  EN SS HH  PRIMER NIVEL</t>
  </si>
  <si>
    <t>EJE C-C</t>
  </si>
  <si>
    <t>En Lavadero</t>
  </si>
  <si>
    <t>EN BLOQUE 6  EN ESTRUCTURAS</t>
  </si>
  <si>
    <t>EN BLOQUE 8  EN AULAS  PRIMER NIVEL</t>
  </si>
  <si>
    <t xml:space="preserve">EJE A-A Y B-B </t>
  </si>
  <si>
    <t>EJE 1-1   AL 5-5</t>
  </si>
  <si>
    <t>EJE 5'-5'   AL 9-9</t>
  </si>
  <si>
    <t>EN BLOQUE 8  EN ESTRUCTURAS</t>
  </si>
  <si>
    <t>EN BLOQUE 9  EN AULAS  PRIMER NIVEL</t>
  </si>
  <si>
    <t xml:space="preserve">EJE A-A  </t>
  </si>
  <si>
    <t>EJE 1-1   AL  14-14</t>
  </si>
  <si>
    <t>EN BLOQUE 9  EN ESTRUCTURAS</t>
  </si>
  <si>
    <t>ENTRE  EJE A-A  Y B-B</t>
  </si>
  <si>
    <t>ENTRE EJE 13-1 3  AL  14-14</t>
  </si>
  <si>
    <t>EN BLOQUE 10  EN AULAS  PRIMER NIVEL</t>
  </si>
  <si>
    <t>EJE 1-1   AL  5-5</t>
  </si>
  <si>
    <t>EN BLOQUE 10  EN ESTRUCTURAS</t>
  </si>
  <si>
    <t xml:space="preserve"> BLOQUE 11  LAB. DE MATEMATICAS   PRIMER NIVEL</t>
  </si>
  <si>
    <t>Para apertura de puetas enrrollables</t>
  </si>
  <si>
    <t>EN BLOQUE 11  EN ESTRUCTURAS</t>
  </si>
  <si>
    <t>Mesas de trabajo tipo C</t>
  </si>
  <si>
    <t>EN OBRAS EXTERIORES</t>
  </si>
  <si>
    <t>Vereda en modulo 2</t>
  </si>
  <si>
    <t>Vereda en Asta de bandera</t>
  </si>
  <si>
    <t>Vereda en Tanque Elevado</t>
  </si>
  <si>
    <t>Losa entre bloque 8 y Bloque 3</t>
  </si>
  <si>
    <t>Patio de Formacion Losa</t>
  </si>
  <si>
    <t>Rampa en ingreso principlal</t>
  </si>
  <si>
    <t>Vereda entre ingreso principal y Bloque 3</t>
  </si>
  <si>
    <t>Dados de concreto para cobertura de Malla Raschell</t>
  </si>
  <si>
    <t>Muro enrrocado en Bloque 3</t>
  </si>
  <si>
    <t>En Losa sup.Muro enrrocado en Bloque 3</t>
  </si>
  <si>
    <t>Vereda Lado lateral Izquierdo Bloque 3</t>
  </si>
  <si>
    <t>Veredas entre Bloque 4 y Bloque 5</t>
  </si>
  <si>
    <t>Veredas entre Bloque 5 y Bloque 7A</t>
  </si>
  <si>
    <t>Losa entre bloque 12B</t>
  </si>
  <si>
    <t>Losa entre bloque 12A</t>
  </si>
  <si>
    <t>Rampa en patio central</t>
  </si>
  <si>
    <t>Piso enrrocado en Bloque 4 lado lateral izquierdo</t>
  </si>
  <si>
    <t>Columnas en estructura de c° entre b11, b12, b123</t>
  </si>
  <si>
    <t>Losa superior en estructura de c° entre b11, b12, b123</t>
  </si>
  <si>
    <t>Losa inferior en estructura de c° entre b11, b12, b123</t>
  </si>
  <si>
    <t>En Prog 0+00 - 0+068.34</t>
  </si>
  <si>
    <t>En Prog   0+341.83 - 0+350.85</t>
  </si>
  <si>
    <t>En Prog    0+406.55 - 0+420</t>
  </si>
  <si>
    <t>En Prog  0+068.34 - 0+120</t>
  </si>
  <si>
    <t>En Prog   0+120 - 0+266.74</t>
  </si>
  <si>
    <t>En Prog  0+266.74 - 0+341.83</t>
  </si>
  <si>
    <t>En Prog      0+440 - 0+450.17</t>
  </si>
  <si>
    <t>En Prog       0+450.17 - 0+530</t>
  </si>
  <si>
    <t>En Prog       0+530 - 0+560</t>
  </si>
  <si>
    <t>En Prog        0+560 - 0+606.18</t>
  </si>
  <si>
    <t>En Prog         0+606.18 - 0+698.84</t>
  </si>
  <si>
    <t>s/c</t>
  </si>
  <si>
    <t>Cimentaciion de cerco perimetrico</t>
  </si>
  <si>
    <t>viga de Amarre</t>
  </si>
  <si>
    <t>En Prog    0+350.85 - 406.55</t>
  </si>
  <si>
    <t>En Prog         0+00 - 0+060.00</t>
  </si>
  <si>
    <t>En Prog          0+060.00 - 0+100</t>
  </si>
  <si>
    <t>En Prog           0+100  - 0+118.64</t>
  </si>
  <si>
    <t>Sardinel 0.20x0.4 en  Losa</t>
  </si>
  <si>
    <t>Sardinel 0.20x0.4 en   vereda</t>
  </si>
  <si>
    <t>Sardinel 0.20x0.4 en   Rampa</t>
  </si>
  <si>
    <t>Losa entre bloque 7A y Bloque 7B</t>
  </si>
  <si>
    <t>Sardinel 0.20x0.4 en  Vereda</t>
  </si>
  <si>
    <t>Cimentacion  Bloque 1 Aulas</t>
  </si>
  <si>
    <t>Cimentacion  Transversales Bloque 1 Aulas</t>
  </si>
  <si>
    <t>Cimentacion interna  Bloque 1 Aulas</t>
  </si>
  <si>
    <t>Cimentacion   Bloque 1 Aula</t>
  </si>
  <si>
    <t>Cimentacion  Bloque 2</t>
  </si>
  <si>
    <t>Cimentacion  Transversales Bloque 2</t>
  </si>
  <si>
    <t>Cimentacion  Bloque 4</t>
  </si>
  <si>
    <t>Cimentacion  Transversales Bloque 4</t>
  </si>
  <si>
    <t>Cimentacion  Bloque 5</t>
  </si>
  <si>
    <t>Cimentacion  Bloque 6</t>
  </si>
  <si>
    <t>Cimentacion  Transversales Bloque 5</t>
  </si>
  <si>
    <t>Cimentacion  Transversales Bloque 6</t>
  </si>
  <si>
    <t>Cimentacion  Bloque 8</t>
  </si>
  <si>
    <t>Cimentacion  Transversales Bloque 8</t>
  </si>
  <si>
    <t>Cimentacion  Bloque 9</t>
  </si>
  <si>
    <t>Cimentacion  Transversales Bloque 9</t>
  </si>
  <si>
    <t>Cimentacion interna</t>
  </si>
  <si>
    <t>Cimentacion  Bloque 10</t>
  </si>
  <si>
    <t>Cimentacion  Transversales Bloque 10</t>
  </si>
  <si>
    <t xml:space="preserve">Piso Adoquinado en Bloque 4 </t>
  </si>
  <si>
    <t xml:space="preserve">Jardineras Adoquinadas en Bloque 4 </t>
  </si>
  <si>
    <t>Losa entre bloque 1 y Bloque 9</t>
  </si>
  <si>
    <t xml:space="preserve">Losa parte Posterior  bloque 1 </t>
  </si>
  <si>
    <t>Demolicion manual de Cunetas existentes</t>
  </si>
  <si>
    <t>Entre Bloque 1</t>
  </si>
  <si>
    <t>Entre Bloque 10</t>
  </si>
  <si>
    <t>Entre Bloque 3 Y 4</t>
  </si>
  <si>
    <t xml:space="preserve">Desmontaje manual de aula prefabricada de material termico  inc. Puertas y ventanas </t>
  </si>
  <si>
    <t xml:space="preserve">Desmontaje manual de Estructura metalica para cobertura de Malla Raschell existente </t>
  </si>
  <si>
    <t>Transporte de material para montaje de Aulas Pre fabricadas de material termico</t>
  </si>
  <si>
    <t>PLAN DE CONTINGENCIA</t>
  </si>
  <si>
    <t>EN AREA A INTERVENIR</t>
  </si>
  <si>
    <t>Trazo, Nivelacion Y Replanteo</t>
  </si>
  <si>
    <t>Corte de Terreno Natural con Maquinaria</t>
  </si>
  <si>
    <t>FRONTAL</t>
  </si>
  <si>
    <t>POSTERIOR</t>
  </si>
  <si>
    <t>LATERALES</t>
  </si>
  <si>
    <t>aulas provisionales</t>
  </si>
  <si>
    <t>Planchas de Polipropilena de e=1.2mm/Color Rojo - Incluye Correas de Madera 2" x 2"</t>
  </si>
  <si>
    <t>Losas</t>
  </si>
  <si>
    <t>Losa de Concreto  F'C=140 KG/CM2, e=10cm/Acabado  Frotachado (INC. ENCOFRADO)</t>
  </si>
  <si>
    <t>LOSAS</t>
  </si>
  <si>
    <t>Junta Asfaltica e=1" En Losa</t>
  </si>
  <si>
    <t>1.02.06.06</t>
  </si>
  <si>
    <t>1.02.06.14</t>
  </si>
  <si>
    <t>1.02.06.15</t>
  </si>
  <si>
    <t>1.02.06.16</t>
  </si>
  <si>
    <t>TUMBES-ZARUMILLA-ZARUMILLA</t>
  </si>
  <si>
    <t>TUMBES - ZARUMILLA - ZARUMILLA</t>
  </si>
  <si>
    <t>TOTAL</t>
  </si>
  <si>
    <t>OBRAS PROVISIONALES</t>
  </si>
  <si>
    <t>SERVICIOS HIGIENICOS PROVISIONALES</t>
  </si>
  <si>
    <t>1.02.05.01</t>
  </si>
  <si>
    <t xml:space="preserve">En  SS HH  Provisionales </t>
  </si>
  <si>
    <t>Lado Frontal</t>
  </si>
  <si>
    <t>Lado Posterior</t>
  </si>
  <si>
    <t>Lados  laterales</t>
  </si>
  <si>
    <t>Descontar area de ventanas y puertas</t>
  </si>
  <si>
    <t>En interiores</t>
  </si>
  <si>
    <t>1.02.05.02</t>
  </si>
  <si>
    <t>1.02.05.03</t>
  </si>
  <si>
    <t>1.02.05.04</t>
  </si>
  <si>
    <t>1.02.05.05</t>
  </si>
  <si>
    <t>1.02.05.06</t>
  </si>
  <si>
    <t>Transversales</t>
  </si>
  <si>
    <t>1.02.05.07</t>
  </si>
  <si>
    <t>Longitudinales</t>
  </si>
  <si>
    <t>1.02.05.08</t>
  </si>
  <si>
    <t>En Cobertura</t>
  </si>
  <si>
    <t>En Ingreso</t>
  </si>
  <si>
    <t>1.02.05.09</t>
  </si>
  <si>
    <t>En  inodioros y duchas</t>
  </si>
  <si>
    <t>1.02.05.10</t>
  </si>
  <si>
    <t>En  iLado Posterior</t>
  </si>
  <si>
    <t>1.02.05.11</t>
  </si>
  <si>
    <t>En  Lado frontal - urinario</t>
  </si>
  <si>
    <t>En  Lado  central - Duchas</t>
  </si>
  <si>
    <t>1.02.05.12</t>
  </si>
  <si>
    <t>Sardinel de Concreto (0.20x0.40)  F'C=140 KG/CM2</t>
  </si>
  <si>
    <t>SECUNDARIA B1</t>
  </si>
  <si>
    <t>SECUNDARIA B2</t>
  </si>
  <si>
    <t>SECUNDARIA B3</t>
  </si>
  <si>
    <t>SECUNDARIA B4</t>
  </si>
  <si>
    <t>SECUNDARIA SS HH H Y M</t>
  </si>
  <si>
    <t>DESCONTAR AREA DE VANOS</t>
  </si>
  <si>
    <t>INTERIORES</t>
  </si>
  <si>
    <t>PRIMARIA B1</t>
  </si>
  <si>
    <t>PRIMARIA B2</t>
  </si>
  <si>
    <t>PRIMARIA B3</t>
  </si>
  <si>
    <t>PRIMARIA B4</t>
  </si>
  <si>
    <t>BLOQUES  SECUNDARIA</t>
  </si>
  <si>
    <t>AULAS PROVISIONALES B1 AL B4</t>
  </si>
  <si>
    <t>SS HH</t>
  </si>
  <si>
    <t>BLOQUES  PRIMARIA</t>
  </si>
  <si>
    <t>FRONTAL B1 AL B4</t>
  </si>
  <si>
    <t xml:space="preserve">ss hh </t>
  </si>
  <si>
    <t>En Cerco liviano</t>
  </si>
  <si>
    <t>EN SS HH</t>
  </si>
  <si>
    <t>En Aulas provisionales secundaria</t>
  </si>
  <si>
    <t>En Aulas provisionales Primaria</t>
  </si>
  <si>
    <t>BLOQUES   PRIMARIA</t>
  </si>
  <si>
    <t>SS HH PRIMARIA Y SECUNDARIA</t>
  </si>
  <si>
    <t>Puertas de Triplay y marco de madera(1.00X2.10) inc. Cerrojo y Candado</t>
  </si>
  <si>
    <t>Puertas de Triplay y marco de madera(0.90X2.10) inc. Cerrojo y Candado</t>
  </si>
  <si>
    <t>Puertas de Triplay y marco de madera(0.60X2.10) inc. Cerrojo y Candado</t>
  </si>
  <si>
    <t>En Plataforma Deportiva existente</t>
  </si>
  <si>
    <t>kg</t>
  </si>
  <si>
    <t>Sardinel (0.20x0.40) F'C=140Kg/Cm2</t>
  </si>
  <si>
    <t>Dados de Concreto(0.35x0.35x0.50m) F'C=140Kg/Cm2</t>
  </si>
  <si>
    <t>PRIMARIA SS HH H Y M</t>
  </si>
  <si>
    <t>OBRAS PROVISIONALES Y PRELIMINARES</t>
  </si>
  <si>
    <t>En  Ss Hh H y M Secundaria</t>
  </si>
  <si>
    <t>En  Ss Hh H y M  Primaria</t>
  </si>
  <si>
    <t>En  Ss HhProvisionales</t>
  </si>
  <si>
    <t>Capa de Material de Prestamo - Hormigon e= 0.15m Con Equipo  Pesado</t>
  </si>
  <si>
    <t>AULAS</t>
  </si>
  <si>
    <t>BLOQUE II - SUM</t>
  </si>
  <si>
    <t>BLOQUE III - DIRECCIÓN</t>
  </si>
  <si>
    <t>BLOQUE IV - AULAS</t>
  </si>
  <si>
    <t>ESCALERA 3</t>
  </si>
  <si>
    <t>BLOQUE VI- AREA ADMINISTRATIVA</t>
  </si>
  <si>
    <t>BLOQUE 6- AREA ADMINISTRATIVA</t>
  </si>
  <si>
    <t>BLOQUE IX - AULAS</t>
  </si>
  <si>
    <t>ESCALERA 4</t>
  </si>
  <si>
    <t>BLOQUE X - SS.HH.</t>
  </si>
  <si>
    <t>BLOQUE XI - SS.HH.</t>
  </si>
  <si>
    <t>ESCALERA 5</t>
  </si>
  <si>
    <t xml:space="preserve">BLOQUE XII </t>
  </si>
  <si>
    <t>área</t>
  </si>
  <si>
    <t>ESCALERA 6</t>
  </si>
  <si>
    <t>LOSAS DEPORTIVAS Y CAMPO DEPORTIVO</t>
  </si>
  <si>
    <t xml:space="preserve">De grass sintetico </t>
  </si>
  <si>
    <t>PUENTE 1 Y 2</t>
  </si>
  <si>
    <t xml:space="preserve">AREAS DE CIRCULACION </t>
  </si>
  <si>
    <t>VEREDAS</t>
  </si>
  <si>
    <t>RAMPAS</t>
  </si>
  <si>
    <t>PATIOS</t>
  </si>
  <si>
    <t>LOSA EN ESTACIONAMIENT0</t>
  </si>
  <si>
    <t xml:space="preserve">PISO DE ADOQUIN </t>
  </si>
  <si>
    <t>CISTERNA CAP. 100 M3</t>
  </si>
  <si>
    <t>1.02.01</t>
  </si>
  <si>
    <t>Señales informativas de Seguridad</t>
  </si>
  <si>
    <t>INDICA UBICACIÓN Y TIPO DE EXTINTOR</t>
  </si>
  <si>
    <t xml:space="preserve">INDICA UBICACIÓN DE SS HH H , M  Y DISC. </t>
  </si>
  <si>
    <t>Bloque  Secundaria</t>
  </si>
  <si>
    <t>Bloque   Primaria</t>
  </si>
  <si>
    <t>1.04.02</t>
  </si>
  <si>
    <t>1.04.03</t>
  </si>
  <si>
    <t>1.04.04</t>
  </si>
  <si>
    <t>1.04.05</t>
  </si>
  <si>
    <t>1.04.06</t>
  </si>
  <si>
    <t>1.04.07</t>
  </si>
  <si>
    <t>1.04.08</t>
  </si>
  <si>
    <t>1.04.09</t>
  </si>
  <si>
    <t>1.04.10</t>
  </si>
  <si>
    <t>1.04.11</t>
  </si>
  <si>
    <t>1.04.12</t>
  </si>
  <si>
    <t>1.04.13</t>
  </si>
  <si>
    <t>1.04.14</t>
  </si>
  <si>
    <t>1.04.15</t>
  </si>
  <si>
    <t>1.04.16</t>
  </si>
  <si>
    <t>1.04.17</t>
  </si>
  <si>
    <t>1.04.18</t>
  </si>
  <si>
    <t>1.04.19</t>
  </si>
  <si>
    <t>1.04.20</t>
  </si>
  <si>
    <t>1.04.21</t>
  </si>
  <si>
    <t>1.04.22</t>
  </si>
  <si>
    <t>1.05.01.01</t>
  </si>
  <si>
    <t>1.05.01.02</t>
  </si>
  <si>
    <t xml:space="preserve">EN SS HH HOMBRES </t>
  </si>
  <si>
    <t>En Urinario</t>
  </si>
  <si>
    <t>1.04.23</t>
  </si>
  <si>
    <t>1.02.05.13</t>
  </si>
  <si>
    <t xml:space="preserve">APARATOS SANITARIOS Y ACCESORIOS </t>
  </si>
  <si>
    <t>SS.HH ejecución de obra</t>
  </si>
  <si>
    <t xml:space="preserve">Inodoro </t>
  </si>
  <si>
    <t xml:space="preserve">Urinario </t>
  </si>
  <si>
    <t>Lavatorio de manos</t>
  </si>
  <si>
    <t>Ducha</t>
  </si>
  <si>
    <t>SISTEMA DE AGUA FRÍA</t>
  </si>
  <si>
    <t>REDES DE DISTRIBUCIÓN</t>
  </si>
  <si>
    <t>REDES DE ALIMENTACIÓN</t>
  </si>
  <si>
    <t>ACCESORIOS DE REDES DE AGUA</t>
  </si>
  <si>
    <t>VÁLVULAS</t>
  </si>
  <si>
    <t xml:space="preserve">ALMACENAMIENTO DE AGUA </t>
  </si>
  <si>
    <t>Tanque elevado para SS.HH ejecución de obra</t>
  </si>
  <si>
    <t>DESAGÜE Y VENTILACIÓN</t>
  </si>
  <si>
    <t>REDES DE DERIVACIÓN</t>
  </si>
  <si>
    <t>REDES COLECTORAS</t>
  </si>
  <si>
    <t>ACCESORIOS DE REDES DE DESAGUE</t>
  </si>
  <si>
    <t>Urinario</t>
  </si>
  <si>
    <t>inodoro</t>
  </si>
  <si>
    <t>Inodoro</t>
  </si>
  <si>
    <t>Lava manos</t>
  </si>
  <si>
    <t>CAMARAS DE INSPECCIÓN</t>
  </si>
  <si>
    <t>Red colectora</t>
  </si>
  <si>
    <t>Salida SS.HH</t>
  </si>
  <si>
    <t>pto</t>
  </si>
  <si>
    <t xml:space="preserve">Sard. De C° 0.20x0.50. F'C=140Kg/Cm2 </t>
  </si>
  <si>
    <t xml:space="preserve">Tarrajeo de Sard. De C° 0.20x0.50. </t>
  </si>
  <si>
    <t>En Muros livianos</t>
  </si>
  <si>
    <t>En Sardinel de 0.20x0.50</t>
  </si>
  <si>
    <t>1.02.05.14</t>
  </si>
  <si>
    <t>1.02.05.15</t>
  </si>
  <si>
    <t>1.02.05.16</t>
  </si>
  <si>
    <t>1.02.05.16.01</t>
  </si>
  <si>
    <t>1.02.05.17</t>
  </si>
  <si>
    <t>1.02.05.17.01</t>
  </si>
  <si>
    <t>1.02.05.18</t>
  </si>
  <si>
    <t>1.02.05.18.01</t>
  </si>
  <si>
    <t>1.02.05.19</t>
  </si>
  <si>
    <t>1.02.05.19.01</t>
  </si>
  <si>
    <t>1.02.05.20</t>
  </si>
  <si>
    <t>1.02.05.20.01</t>
  </si>
  <si>
    <t>1.02.05.21</t>
  </si>
  <si>
    <t>1.02.05.21.01</t>
  </si>
  <si>
    <t>1.02.05.22</t>
  </si>
  <si>
    <t>1.02.05.22.01</t>
  </si>
  <si>
    <t>1.02.05.22.02</t>
  </si>
  <si>
    <t>1.02.05.23</t>
  </si>
  <si>
    <t>1.02.05.23.01</t>
  </si>
  <si>
    <t>1.02.05.23.02</t>
  </si>
  <si>
    <t>1.02.05.24</t>
  </si>
  <si>
    <t>1.02.05.24.01</t>
  </si>
  <si>
    <t>1.02.05.25</t>
  </si>
  <si>
    <t>1.02.05.25.01</t>
  </si>
  <si>
    <t xml:space="preserve"> "MEJORAMIENTO DEL SERVICIO DE EDUCACIÓN BASICA REGULAR DE LA INSTITUCION EDUCATIVA N° 093 EFRAIN ARCAYA ZEVALLOS DEL DISTRITO DE ZARUMILLA- PROVINCIA DE ZARUMILLA-DEPARTAMENTO DE TUMBES"</t>
  </si>
  <si>
    <t>Comedor para Personal Obrero</t>
  </si>
  <si>
    <t>Sardinel (0.20x0.50) F'C=140Kg/Cm2.</t>
  </si>
  <si>
    <t xml:space="preserve">Tarrajeo de Sardinel (0.20x0.50) </t>
  </si>
  <si>
    <t>EN URINARIO</t>
  </si>
  <si>
    <t>En Aulas Provisionales</t>
  </si>
  <si>
    <t>En Sardinel (0.20x0.50)</t>
  </si>
  <si>
    <t>1.04.24</t>
  </si>
  <si>
    <t>1.04.25</t>
  </si>
  <si>
    <t>1.02.05.26</t>
  </si>
  <si>
    <t>1.02.05.26.01</t>
  </si>
  <si>
    <t>SS.HH primaria</t>
  </si>
  <si>
    <t>SS.HH secundaria</t>
  </si>
  <si>
    <t>Inodoro primaria y secundaria</t>
  </si>
  <si>
    <t>Urinario primaria y secundaria</t>
  </si>
  <si>
    <t>Lavatorio de manos primaria y secundaria</t>
  </si>
  <si>
    <t>SALIDAS DE AGUA FRÍA</t>
  </si>
  <si>
    <t>SS.HH primaria y secundaria</t>
  </si>
  <si>
    <t>ACCESORIOS EN REDES DE DISTRIBUCIÓN Y ALIMENTACIÓN</t>
  </si>
  <si>
    <t>Inodoro primaria</t>
  </si>
  <si>
    <t>Inodoro secundaria</t>
  </si>
  <si>
    <t>Urinario primaria</t>
  </si>
  <si>
    <t>Urinario secundaria</t>
  </si>
  <si>
    <t>Lavatorio de manos primaria</t>
  </si>
  <si>
    <t>Lavatorio de manos secundaria</t>
  </si>
  <si>
    <t>Ventilación primaria</t>
  </si>
  <si>
    <t>Ventilación secundaria</t>
  </si>
  <si>
    <t>Red primaria</t>
  </si>
  <si>
    <t>Red secundaria</t>
  </si>
  <si>
    <t>Ventilación primaria y secundaria</t>
  </si>
  <si>
    <t>Registro primaria y secundaria</t>
  </si>
  <si>
    <t>inodoro primaria y secundaria</t>
  </si>
  <si>
    <t>Lava manos primaria y secundaria</t>
  </si>
  <si>
    <t>Red colectora primaria y secundaria</t>
  </si>
  <si>
    <t>1.06.01</t>
  </si>
  <si>
    <t>1.06.01.01</t>
  </si>
  <si>
    <t>1.06.01.02</t>
  </si>
  <si>
    <t>1.06.01.03</t>
  </si>
  <si>
    <t>1.06.02</t>
  </si>
  <si>
    <t>1.06.02.01</t>
  </si>
  <si>
    <t>1.06.03</t>
  </si>
  <si>
    <t>1.06.03.01</t>
  </si>
  <si>
    <t>1.06.04</t>
  </si>
  <si>
    <t>1.06.04.01</t>
  </si>
  <si>
    <t>1.06.02.01.01</t>
  </si>
  <si>
    <t>1.06.05</t>
  </si>
  <si>
    <t>1.06.05.01</t>
  </si>
  <si>
    <t>1.06.05.01.01</t>
  </si>
  <si>
    <t>1.06.05.01.02</t>
  </si>
  <si>
    <t>1.06.05.01.03</t>
  </si>
  <si>
    <t>1.06.05.01.04</t>
  </si>
  <si>
    <t>1.06.05.01.05</t>
  </si>
  <si>
    <t>1.06.05.01.06</t>
  </si>
  <si>
    <t>1.06.05.01.07</t>
  </si>
  <si>
    <t>1.06.05.01.08</t>
  </si>
  <si>
    <t>1.06.05.01.09</t>
  </si>
  <si>
    <t>1.06.05.01.10</t>
  </si>
  <si>
    <t>1.06.05.01.11</t>
  </si>
  <si>
    <t>1.06.05.01.12</t>
  </si>
  <si>
    <t>1.06.07</t>
  </si>
  <si>
    <t>1.06.06</t>
  </si>
  <si>
    <t>1.06.06.01</t>
  </si>
  <si>
    <t>1.06.07.01</t>
  </si>
  <si>
    <t>1.06.07.02</t>
  </si>
  <si>
    <t>1.06.08</t>
  </si>
  <si>
    <t>1.06.08.01</t>
  </si>
  <si>
    <t>1.06.08.02</t>
  </si>
  <si>
    <t>1.06.09</t>
  </si>
  <si>
    <t>1.06.09.01</t>
  </si>
  <si>
    <t>1.06.09.02</t>
  </si>
  <si>
    <t>1.06.10</t>
  </si>
  <si>
    <t>1.06.10.01</t>
  </si>
  <si>
    <t>1.06.11</t>
  </si>
  <si>
    <t>1.06.11.01</t>
  </si>
  <si>
    <t>1.06.11.02</t>
  </si>
  <si>
    <t>1.06.11.03</t>
  </si>
  <si>
    <t>1.06.11.04</t>
  </si>
  <si>
    <t>1.06.11.05</t>
  </si>
  <si>
    <t>1.06.11.06</t>
  </si>
  <si>
    <t>1.06.11.07</t>
  </si>
  <si>
    <t>1.06.11.08</t>
  </si>
  <si>
    <t>1.06.12</t>
  </si>
  <si>
    <t>1.06.12.01</t>
  </si>
  <si>
    <t>Colocación de torre metálica para tanque de agua según diseño</t>
  </si>
  <si>
    <t>Torre metálica</t>
  </si>
  <si>
    <t>1.02.05.16.02</t>
  </si>
  <si>
    <t>1.02.05.16.03</t>
  </si>
  <si>
    <t>1.02.05.16.04</t>
  </si>
  <si>
    <t>1.02.05.16.05</t>
  </si>
  <si>
    <t>1.02.05.20.02</t>
  </si>
  <si>
    <t>1.02.05.20.03</t>
  </si>
  <si>
    <t>1.02.05.20.04</t>
  </si>
  <si>
    <t>1.02.05.20.05</t>
  </si>
  <si>
    <t>1.02.05.20.06</t>
  </si>
  <si>
    <t>1.02.05.20.07</t>
  </si>
  <si>
    <t>1.02.05.20.08</t>
  </si>
  <si>
    <t>1.02.05.20.09</t>
  </si>
  <si>
    <t>1.02.05.20.10</t>
  </si>
  <si>
    <t>1.02.05.20.11</t>
  </si>
  <si>
    <t>1.02.05.24.02</t>
  </si>
  <si>
    <t>1.02.05.26.02</t>
  </si>
  <si>
    <t>1.02.05.26.03</t>
  </si>
  <si>
    <t>1.02.05.26.04</t>
  </si>
  <si>
    <t>1.02.05.26.05</t>
  </si>
  <si>
    <t>1.02.05.26.06</t>
  </si>
  <si>
    <t>1.02.05.26.07</t>
  </si>
  <si>
    <t>1.02.05.26.08</t>
  </si>
  <si>
    <t>1.02.05.27</t>
  </si>
  <si>
    <t>1.02.05.27.01</t>
  </si>
  <si>
    <t>Código</t>
  </si>
  <si>
    <t>Suministro de aparato sanitario (INODORO)</t>
  </si>
  <si>
    <t>Suministro de aparato sanitario (DUCHAS)</t>
  </si>
  <si>
    <t>Suministro de accesorios P/Inodoro</t>
  </si>
  <si>
    <t>Suministro de accesorios P/Duchas</t>
  </si>
  <si>
    <t>Instalación de aparatos sanitarios y accesorios</t>
  </si>
  <si>
    <t>Salida de agua fría Ø 1/2'' Bronce</t>
  </si>
  <si>
    <t>Tubería PVC CLASE 10 SP P/Agua Fría D=3/4''</t>
  </si>
  <si>
    <t>Suministro e instalación de codo de 90° PVC AGUA C-10  3/4''</t>
  </si>
  <si>
    <t>Suministro e instalación de TEE PVC AGUA C-10 1''</t>
  </si>
  <si>
    <t>Suministro e instalación de TEE PVC AGUA C-10 3/4''</t>
  </si>
  <si>
    <t>Suministro e instalación de CODO DE BRONCE 1/2''</t>
  </si>
  <si>
    <t>Suministro e instalación de ADAPTADOR PVC AGUA C-10 3/4''</t>
  </si>
  <si>
    <t>Suministro e instalación de NIPLE PVC AGUA C-10 3/4''</t>
  </si>
  <si>
    <t>Suministro e instalación de REDUCCIÓN PVC AGUA C-10 1" A 3/4''</t>
  </si>
  <si>
    <t>Suministro e instalación de REDUCCIÓN PVC AGUA C-10 3/4" A 1/2''</t>
  </si>
  <si>
    <t>Suministro e instalación de TUBO DE ABASTO PARA INODORO</t>
  </si>
  <si>
    <t xml:space="preserve">Suministro e instalación de TRAMPA PLASTICA C/REGISTRO </t>
  </si>
  <si>
    <t>Suministro e instalación de UNION UNIVERSAL PVC 3/4"</t>
  </si>
  <si>
    <t>Válvula compuerta Pesada de Bronce de 3/4''</t>
  </si>
  <si>
    <t>Suministro e instalación de Tanque de POLIETILENO CAP. 1100 LT</t>
  </si>
  <si>
    <t>Suministro e instalación de Cisterna de POLIETILENO CAP. 1200 LT</t>
  </si>
  <si>
    <t>Salida de desagüe de PVC 4"</t>
  </si>
  <si>
    <t>Salida de desagüe de PVC 2"</t>
  </si>
  <si>
    <t xml:space="preserve">Tubería de desagüe PVC SAP D = 4" </t>
  </si>
  <si>
    <t xml:space="preserve">Tubería de desagüe PVC SAP D = 2" </t>
  </si>
  <si>
    <t>Suministro e instalación de CODO DE 90° PVC 4''</t>
  </si>
  <si>
    <t>Suministro e instalación de CODO DE 90° PVC 2''</t>
  </si>
  <si>
    <t>Suministro e instalación de REGISTRO DE BRONCE 4''</t>
  </si>
  <si>
    <t>Suministro e instalación de SUMIDERO CON TRAMPA P</t>
  </si>
  <si>
    <t>Suministro e instalación de TEE 4"</t>
  </si>
  <si>
    <t>Suministro e instalación de YEE SIMPLE 4"</t>
  </si>
  <si>
    <t>Suministro e instalación de YEE DE 4" A 2"</t>
  </si>
  <si>
    <t>Suministro e instalación de SOMBRERO DE VENTILACIÓN 4''</t>
  </si>
  <si>
    <t xml:space="preserve">Suministro e instalación de CAJA DE REGISTRO </t>
  </si>
  <si>
    <t>Suministro de accesorios P/INODORO</t>
  </si>
  <si>
    <t>Instalación de aparatos Sanitarios y accesorios</t>
  </si>
  <si>
    <t>Tubería PVC CLASE 10 SP P/Agua Fría D=1''</t>
  </si>
  <si>
    <t>Suministro e instalación de CODO DE 90° PVC AGUA C-10  1''</t>
  </si>
  <si>
    <t>Suministro e instalación de CODO DE 90° PVC AGUA C-10  3/4''</t>
  </si>
  <si>
    <t>Suministro e instalación de  TUBO DE ABASTO PARA INODORO</t>
  </si>
  <si>
    <t>Mantenimiento y/o adecuación de cisterna existente</t>
  </si>
  <si>
    <t>Mantenimiento y/o adecuación de cisterna</t>
  </si>
  <si>
    <t xml:space="preserve">Tubería de desagüe de PVC SAP D = 4" </t>
  </si>
  <si>
    <t xml:space="preserve">Tubería de desagüe de PVC SAP D = 2" </t>
  </si>
  <si>
    <t>Suministro e instalación de CODO 4" A 2"</t>
  </si>
  <si>
    <t>Suministro e instalación de SOMBRERO DE VENTILACIÓN 2''</t>
  </si>
  <si>
    <t>1.01.01</t>
  </si>
  <si>
    <t>1.01.02</t>
  </si>
  <si>
    <t>1.01.03</t>
  </si>
  <si>
    <t>1.01.04</t>
  </si>
  <si>
    <t>1.01.05</t>
  </si>
  <si>
    <t>Suministro y colocación de cartel de obra de 2.40x3.60m</t>
  </si>
  <si>
    <t>Caseta de guardiaíia y/o almacén</t>
  </si>
  <si>
    <t xml:space="preserve">Se colocará en el perímetro de colegio </t>
  </si>
  <si>
    <t>Movilización y Desmovilización de Equipo</t>
  </si>
  <si>
    <t>Tala de arboles inc/ reforestación</t>
  </si>
  <si>
    <t>Capa de Material de Préstamo - Hormigón e= 0.20m Con Equipo  Liviano</t>
  </si>
  <si>
    <t>Suministro e instalación de Columnas de Madera de 4" x 4"</t>
  </si>
  <si>
    <t>Suministro e instalación de paneles de Fibro cemento ST de 6mm</t>
  </si>
  <si>
    <t>Suministro e instalación de Vigas de Madera de 2" x 4"</t>
  </si>
  <si>
    <t>Suministro e instalación de Paneles de  Triplay de 1.20x2.40 DE 4mm</t>
  </si>
  <si>
    <t>Suministro e instalación de Paneles de  Fibro cemento Tipo ST  de 6mm</t>
  </si>
  <si>
    <t>Suministro e instalación de Puertas de triplay con Marco de Madera (0.90x2.10) incluye Cerrajería</t>
  </si>
  <si>
    <t>Pintura con Esmalte Sintético</t>
  </si>
  <si>
    <t>Lavadero de una Poza Acabado Pulido Inc/ instalaciones</t>
  </si>
  <si>
    <t>Suministro e instalación de Puertas de triplay con Marco de Madera (0.60x1.60) incluye Cerrajería</t>
  </si>
  <si>
    <t xml:space="preserve">Implementacion de area de triaje (control previo) </t>
  </si>
  <si>
    <t>Nivelación y colocación de cotrapiso C.A prop. 1:4  e=2"</t>
  </si>
  <si>
    <t>Acero F'Y=4200Kg/Cm2, en contrapiso para nivelación de losa</t>
  </si>
  <si>
    <t>Lavadero de Una Poza Acabado Pulido Inc/ instalaciones</t>
  </si>
  <si>
    <t>Eliminación de Material Excedente a 2 km de distancia de la obra</t>
  </si>
  <si>
    <t>Eliminación de Material Excedente</t>
  </si>
  <si>
    <t>Evacuación y Señalización</t>
  </si>
  <si>
    <t>Suministro y colocación de señalizacion adosada a pared de 0.20x0.30</t>
  </si>
  <si>
    <t>INDICA SENTIDO Y RUTA DE EVACUACIÓN</t>
  </si>
  <si>
    <t>Suministro y colocación de señalizacion adosada a pared de 0.30x0.40</t>
  </si>
  <si>
    <t>Suministro y colocación ventanas (2.00x0.60m) inc. Celocia y marco de Madera</t>
  </si>
  <si>
    <t>Suministro y colocación de bisagras de 4" en Puertas</t>
  </si>
  <si>
    <t>Suministro y colocación de Ventanas inc. Celosía y marco de Madera</t>
  </si>
  <si>
    <t>Suministro y colocación de panel cerco Pro 2.40x3.00m, color verde según diseño Inc parantes metálicos 3"x3"x3.00m</t>
  </si>
  <si>
    <t>Suministro y colocación de Extintores</t>
  </si>
  <si>
    <t>1.04.01</t>
  </si>
  <si>
    <t>INSTALACIONES SANITARIAS</t>
  </si>
  <si>
    <t>ELÉCTRICAS</t>
  </si>
  <si>
    <t>Instalaciones eléctricas en aulas provisionales</t>
  </si>
  <si>
    <t>CJT</t>
  </si>
  <si>
    <t>1.07.01</t>
  </si>
  <si>
    <t>1.00</t>
  </si>
  <si>
    <t>GLB</t>
  </si>
  <si>
    <t>En SS. HH. H  Y  M</t>
  </si>
  <si>
    <t xml:space="preserve">Vestuario para Personal </t>
  </si>
  <si>
    <t>1.00 - OBRAS PROVISIONALES Y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</si>
</sst>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00.00"/>
    <numFmt numFmtId="167" formatCode="_([$€-2]\ * #,##0.00_);_([$€-2]\ * \(#,##0.00\);_([$€-2]\ * &quot;-&quot;??_)"/>
    <numFmt numFmtId="168" formatCode="0.00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7.5"/>
      <name val="Century Gothic"/>
      <family val="2"/>
    </font>
    <font>
      <b/>
      <u/>
      <sz val="10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7.5"/>
      <color theme="0"/>
      <name val="Century Gothic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u/>
      <sz val="1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i/>
      <u/>
      <sz val="11"/>
      <name val="Calibri"/>
      <family val="2"/>
      <scheme val="minor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 tint="4.9989318521683403E-2"/>
      <name val="Arial"/>
      <family val="2"/>
    </font>
    <font>
      <sz val="9"/>
      <color theme="1" tint="4.9989318521683403E-2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3" tint="0.39997558519241921"/>
      <name val="Arial"/>
      <family val="2"/>
    </font>
    <font>
      <b/>
      <sz val="9"/>
      <name val="Arial"/>
      <family val="2"/>
    </font>
    <font>
      <b/>
      <u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u/>
      <sz val="9"/>
      <color theme="1" tint="4.9989318521683403E-2"/>
      <name val="Arial"/>
      <family val="2"/>
    </font>
    <font>
      <b/>
      <u/>
      <sz val="9"/>
      <name val="Arial"/>
      <family val="2"/>
    </font>
    <font>
      <sz val="8"/>
      <color theme="1" tint="4.9989318521683403E-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56">
    <xf numFmtId="0" fontId="0" fillId="0" borderId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12" fillId="0" borderId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9" fillId="0" borderId="0"/>
    <xf numFmtId="0" fontId="8" fillId="0" borderId="0"/>
    <xf numFmtId="164" fontId="11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11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4" fillId="0" borderId="0"/>
    <xf numFmtId="0" fontId="11" fillId="0" borderId="0"/>
    <xf numFmtId="43" fontId="11" fillId="0" borderId="0" applyFont="0" applyFill="0" applyBorder="0" applyAlignment="0" applyProtection="0"/>
    <xf numFmtId="0" fontId="4" fillId="0" borderId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8">
    <xf numFmtId="0" fontId="0" fillId="0" borderId="0" xfId="0"/>
    <xf numFmtId="0" fontId="0" fillId="0" borderId="0" xfId="0" applyFill="1"/>
    <xf numFmtId="0" fontId="12" fillId="2" borderId="0" xfId="0" applyFont="1" applyFill="1"/>
    <xf numFmtId="0" fontId="13" fillId="0" borderId="0" xfId="0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0" fontId="15" fillId="0" borderId="0" xfId="0" applyFont="1" applyFill="1" applyBorder="1"/>
    <xf numFmtId="0" fontId="12" fillId="0" borderId="3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2" fillId="0" borderId="0" xfId="0" applyFont="1" applyFill="1"/>
    <xf numFmtId="0" fontId="20" fillId="4" borderId="0" xfId="0" applyFont="1" applyFill="1"/>
    <xf numFmtId="0" fontId="20" fillId="0" borderId="0" xfId="0" applyFont="1" applyFill="1"/>
    <xf numFmtId="0" fontId="21" fillId="5" borderId="0" xfId="0" applyFont="1" applyFill="1"/>
    <xf numFmtId="0" fontId="22" fillId="6" borderId="0" xfId="0" applyFont="1" applyFill="1" applyBorder="1"/>
    <xf numFmtId="0" fontId="21" fillId="0" borderId="0" xfId="0" applyFont="1" applyFill="1"/>
    <xf numFmtId="0" fontId="7" fillId="0" borderId="0" xfId="12"/>
    <xf numFmtId="0" fontId="7" fillId="0" borderId="0" xfId="12" applyFill="1"/>
    <xf numFmtId="0" fontId="20" fillId="8" borderId="0" xfId="0" applyFont="1" applyFill="1"/>
    <xf numFmtId="0" fontId="11" fillId="2" borderId="0" xfId="0" applyFont="1" applyFill="1"/>
    <xf numFmtId="0" fontId="11" fillId="9" borderId="0" xfId="0" applyFont="1" applyFill="1"/>
    <xf numFmtId="43" fontId="20" fillId="4" borderId="0" xfId="0" applyNumberFormat="1" applyFont="1" applyFill="1"/>
    <xf numFmtId="0" fontId="13" fillId="0" borderId="30" xfId="0" applyFont="1" applyFill="1" applyBorder="1"/>
    <xf numFmtId="0" fontId="13" fillId="0" borderId="29" xfId="0" applyFont="1" applyFill="1" applyBorder="1"/>
    <xf numFmtId="0" fontId="18" fillId="0" borderId="30" xfId="0" applyFont="1" applyFill="1" applyBorder="1" applyAlignment="1"/>
    <xf numFmtId="0" fontId="15" fillId="0" borderId="29" xfId="0" applyFont="1" applyFill="1" applyBorder="1"/>
    <xf numFmtId="0" fontId="18" fillId="0" borderId="3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7" fillId="11" borderId="0" xfId="12" applyFill="1"/>
    <xf numFmtId="0" fontId="28" fillId="0" borderId="0" xfId="12" applyFont="1"/>
    <xf numFmtId="0" fontId="12" fillId="0" borderId="33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4" fillId="0" borderId="41" xfId="0" applyFont="1" applyFill="1" applyBorder="1" applyAlignment="1">
      <alignment horizontal="center"/>
    </xf>
    <xf numFmtId="0" fontId="15" fillId="0" borderId="8" xfId="0" applyFont="1" applyFill="1" applyBorder="1"/>
    <xf numFmtId="0" fontId="15" fillId="0" borderId="41" xfId="0" applyFont="1" applyFill="1" applyBorder="1"/>
    <xf numFmtId="0" fontId="17" fillId="0" borderId="8" xfId="0" applyFont="1" applyFill="1" applyBorder="1" applyAlignment="1">
      <alignment horizontal="left"/>
    </xf>
    <xf numFmtId="0" fontId="16" fillId="0" borderId="8" xfId="0" applyFont="1" applyFill="1" applyBorder="1"/>
    <xf numFmtId="0" fontId="17" fillId="0" borderId="8" xfId="0" applyFont="1" applyFill="1" applyBorder="1"/>
    <xf numFmtId="0" fontId="17" fillId="0" borderId="38" xfId="0" applyFont="1" applyFill="1" applyBorder="1" applyAlignment="1">
      <alignment horizontal="left"/>
    </xf>
    <xf numFmtId="0" fontId="20" fillId="7" borderId="0" xfId="0" applyFont="1" applyFill="1"/>
    <xf numFmtId="0" fontId="21" fillId="7" borderId="0" xfId="0" applyFont="1" applyFill="1"/>
    <xf numFmtId="0" fontId="11" fillId="7" borderId="0" xfId="0" applyFont="1" applyFill="1"/>
    <xf numFmtId="0" fontId="29" fillId="7" borderId="0" xfId="0" applyFont="1" applyFill="1"/>
    <xf numFmtId="0" fontId="7" fillId="11" borderId="30" xfId="12" applyFill="1" applyBorder="1"/>
    <xf numFmtId="0" fontId="7" fillId="12" borderId="30" xfId="12" applyFill="1" applyBorder="1"/>
    <xf numFmtId="0" fontId="7" fillId="13" borderId="56" xfId="12" applyFill="1" applyBorder="1"/>
    <xf numFmtId="0" fontId="7" fillId="13" borderId="30" xfId="12" applyFill="1" applyBorder="1"/>
    <xf numFmtId="0" fontId="7" fillId="0" borderId="30" xfId="12" applyBorder="1"/>
    <xf numFmtId="0" fontId="0" fillId="0" borderId="30" xfId="0" applyBorder="1"/>
    <xf numFmtId="0" fontId="0" fillId="0" borderId="29" xfId="0" applyBorder="1"/>
    <xf numFmtId="0" fontId="28" fillId="0" borderId="38" xfId="0" applyFont="1" applyBorder="1"/>
    <xf numFmtId="0" fontId="0" fillId="0" borderId="8" xfId="0" applyBorder="1"/>
    <xf numFmtId="0" fontId="0" fillId="0" borderId="41" xfId="0" applyBorder="1"/>
    <xf numFmtId="0" fontId="28" fillId="0" borderId="51" xfId="0" applyFont="1" applyBorder="1"/>
    <xf numFmtId="0" fontId="28" fillId="0" borderId="15" xfId="0" applyFont="1" applyBorder="1"/>
    <xf numFmtId="0" fontId="28" fillId="0" borderId="57" xfId="0" applyFont="1" applyBorder="1"/>
    <xf numFmtId="0" fontId="11" fillId="0" borderId="0" xfId="0" applyFont="1"/>
    <xf numFmtId="0" fontId="23" fillId="0" borderId="0" xfId="0" applyFont="1"/>
    <xf numFmtId="0" fontId="24" fillId="0" borderId="0" xfId="0" applyFont="1"/>
    <xf numFmtId="0" fontId="11" fillId="0" borderId="30" xfId="0" applyFont="1" applyBorder="1"/>
    <xf numFmtId="43" fontId="11" fillId="2" borderId="0" xfId="0" applyNumberFormat="1" applyFont="1" applyFill="1"/>
    <xf numFmtId="0" fontId="11" fillId="2" borderId="24" xfId="0" applyFont="1" applyFill="1" applyBorder="1"/>
    <xf numFmtId="2" fontId="27" fillId="0" borderId="60" xfId="12" applyNumberFormat="1" applyFont="1" applyFill="1" applyBorder="1" applyAlignment="1">
      <alignment horizontal="right"/>
    </xf>
    <xf numFmtId="2" fontId="27" fillId="0" borderId="55" xfId="12" applyNumberFormat="1" applyFont="1" applyFill="1" applyBorder="1" applyAlignment="1">
      <alignment horizontal="right"/>
    </xf>
    <xf numFmtId="43" fontId="21" fillId="7" borderId="0" xfId="0" applyNumberFormat="1" applyFont="1" applyFill="1"/>
    <xf numFmtId="2" fontId="30" fillId="0" borderId="60" xfId="12" applyNumberFormat="1" applyFont="1" applyFill="1" applyBorder="1" applyAlignment="1">
      <alignment horizontal="right"/>
    </xf>
    <xf numFmtId="2" fontId="27" fillId="0" borderId="59" xfId="12" applyNumberFormat="1" applyFont="1" applyFill="1" applyBorder="1" applyAlignment="1">
      <alignment horizontal="right"/>
    </xf>
    <xf numFmtId="0" fontId="12" fillId="0" borderId="0" xfId="0" applyFont="1" applyFill="1" applyBorder="1"/>
    <xf numFmtId="166" fontId="12" fillId="0" borderId="0" xfId="0" applyNumberFormat="1" applyFont="1" applyFill="1" applyBorder="1"/>
    <xf numFmtId="2" fontId="28" fillId="0" borderId="60" xfId="12" applyNumberFormat="1" applyFont="1" applyBorder="1"/>
    <xf numFmtId="4" fontId="27" fillId="0" borderId="60" xfId="12" applyNumberFormat="1" applyFont="1" applyFill="1" applyBorder="1" applyAlignment="1">
      <alignment horizontal="center" vertical="center"/>
    </xf>
    <xf numFmtId="0" fontId="28" fillId="0" borderId="0" xfId="12" applyFont="1" applyBorder="1" applyAlignment="1">
      <alignment horizontal="center" vertical="center"/>
    </xf>
    <xf numFmtId="4" fontId="27" fillId="0" borderId="62" xfId="12" applyNumberFormat="1" applyFont="1" applyFill="1" applyBorder="1" applyAlignment="1">
      <alignment horizontal="center" vertical="center"/>
    </xf>
    <xf numFmtId="4" fontId="27" fillId="0" borderId="55" xfId="12" applyNumberFormat="1" applyFont="1" applyFill="1" applyBorder="1" applyAlignment="1">
      <alignment horizontal="center" vertical="center"/>
    </xf>
    <xf numFmtId="0" fontId="28" fillId="0" borderId="8" xfId="12" applyFont="1" applyBorder="1" applyAlignment="1">
      <alignment horizontal="center" vertical="center"/>
    </xf>
    <xf numFmtId="4" fontId="27" fillId="0" borderId="72" xfId="12" applyNumberFormat="1" applyFont="1" applyFill="1" applyBorder="1" applyAlignment="1">
      <alignment horizontal="center" vertical="center"/>
    </xf>
    <xf numFmtId="0" fontId="27" fillId="0" borderId="59" xfId="12" applyFont="1" applyFill="1" applyBorder="1" applyAlignment="1">
      <alignment horizontal="center" vertical="center"/>
    </xf>
    <xf numFmtId="4" fontId="27" fillId="0" borderId="25" xfId="12" applyNumberFormat="1" applyFont="1" applyFill="1" applyBorder="1" applyAlignment="1">
      <alignment horizontal="center" vertical="center"/>
    </xf>
    <xf numFmtId="0" fontId="31" fillId="3" borderId="30" xfId="12" applyFont="1" applyFill="1" applyBorder="1" applyAlignment="1" applyProtection="1">
      <alignment vertical="center"/>
      <protection locked="0"/>
    </xf>
    <xf numFmtId="0" fontId="31" fillId="3" borderId="0" xfId="12" applyFont="1" applyFill="1" applyBorder="1" applyAlignment="1" applyProtection="1">
      <alignment vertical="center"/>
      <protection locked="0"/>
    </xf>
    <xf numFmtId="4" fontId="27" fillId="0" borderId="30" xfId="12" applyNumberFormat="1" applyFont="1" applyFill="1" applyBorder="1"/>
    <xf numFmtId="4" fontId="27" fillId="0" borderId="0" xfId="12" applyNumberFormat="1" applyFont="1" applyFill="1" applyBorder="1"/>
    <xf numFmtId="0" fontId="7" fillId="0" borderId="0" xfId="12" applyBorder="1"/>
    <xf numFmtId="0" fontId="7" fillId="0" borderId="0" xfId="12" applyFill="1" applyProtection="1">
      <protection locked="0"/>
    </xf>
    <xf numFmtId="0" fontId="7" fillId="0" borderId="0" xfId="12" applyFill="1" applyBorder="1"/>
    <xf numFmtId="2" fontId="2" fillId="0" borderId="60" xfId="12" applyNumberFormat="1" applyFont="1" applyBorder="1" applyAlignment="1">
      <alignment horizontal="right"/>
    </xf>
    <xf numFmtId="0" fontId="2" fillId="11" borderId="30" xfId="12" applyFont="1" applyFill="1" applyBorder="1" applyAlignment="1">
      <alignment horizontal="center" vertical="center"/>
    </xf>
    <xf numFmtId="0" fontId="2" fillId="12" borderId="30" xfId="12" applyFont="1" applyFill="1" applyBorder="1" applyAlignment="1">
      <alignment horizontal="center" vertical="center"/>
    </xf>
    <xf numFmtId="0" fontId="2" fillId="13" borderId="30" xfId="12" applyFont="1" applyFill="1" applyBorder="1" applyAlignment="1">
      <alignment horizontal="center" vertical="center"/>
    </xf>
    <xf numFmtId="0" fontId="2" fillId="0" borderId="30" xfId="12" applyFont="1" applyBorder="1" applyAlignment="1">
      <alignment horizontal="center" vertical="center"/>
    </xf>
    <xf numFmtId="0" fontId="2" fillId="13" borderId="56" xfId="12" applyFont="1" applyFill="1" applyBorder="1" applyAlignment="1">
      <alignment horizontal="center" vertical="center"/>
    </xf>
    <xf numFmtId="0" fontId="2" fillId="11" borderId="0" xfId="12" applyFont="1" applyFill="1" applyBorder="1" applyAlignment="1">
      <alignment horizontal="center" vertical="center"/>
    </xf>
    <xf numFmtId="0" fontId="2" fillId="0" borderId="56" xfId="12" applyFont="1" applyBorder="1" applyAlignment="1">
      <alignment horizontal="center" vertical="center"/>
    </xf>
    <xf numFmtId="0" fontId="2" fillId="0" borderId="29" xfId="12" applyFont="1" applyBorder="1" applyAlignment="1">
      <alignment horizontal="center" vertical="center"/>
    </xf>
    <xf numFmtId="2" fontId="2" fillId="0" borderId="55" xfId="12" applyNumberFormat="1" applyFont="1" applyBorder="1" applyAlignment="1">
      <alignment horizontal="right"/>
    </xf>
    <xf numFmtId="0" fontId="2" fillId="11" borderId="38" xfId="12" applyFont="1" applyFill="1" applyBorder="1" applyAlignment="1">
      <alignment horizontal="center" vertical="center"/>
    </xf>
    <xf numFmtId="0" fontId="2" fillId="12" borderId="38" xfId="12" applyFont="1" applyFill="1" applyBorder="1" applyAlignment="1">
      <alignment horizontal="center" vertical="center"/>
    </xf>
    <xf numFmtId="0" fontId="2" fillId="13" borderId="38" xfId="12" applyFont="1" applyFill="1" applyBorder="1" applyAlignment="1">
      <alignment horizontal="center" vertical="center"/>
    </xf>
    <xf numFmtId="0" fontId="2" fillId="0" borderId="38" xfId="12" applyFont="1" applyBorder="1" applyAlignment="1">
      <alignment horizontal="center" vertical="center"/>
    </xf>
    <xf numFmtId="0" fontId="2" fillId="13" borderId="68" xfId="12" applyFont="1" applyFill="1" applyBorder="1" applyAlignment="1">
      <alignment horizontal="center" vertical="center"/>
    </xf>
    <xf numFmtId="0" fontId="2" fillId="11" borderId="8" xfId="12" applyFont="1" applyFill="1" applyBorder="1" applyAlignment="1">
      <alignment horizontal="center" vertical="center"/>
    </xf>
    <xf numFmtId="2" fontId="30" fillId="6" borderId="58" xfId="12" applyNumberFormat="1" applyFont="1" applyFill="1" applyBorder="1" applyAlignment="1">
      <alignment horizontal="left"/>
    </xf>
    <xf numFmtId="2" fontId="30" fillId="6" borderId="60" xfId="12" applyNumberFormat="1" applyFont="1" applyFill="1" applyBorder="1" applyAlignment="1">
      <alignment horizontal="left"/>
    </xf>
    <xf numFmtId="2" fontId="30" fillId="9" borderId="60" xfId="12" applyNumberFormat="1" applyFont="1" applyFill="1" applyBorder="1" applyAlignment="1">
      <alignment horizontal="left"/>
    </xf>
    <xf numFmtId="0" fontId="30" fillId="6" borderId="54" xfId="12" applyFont="1" applyFill="1" applyBorder="1" applyAlignment="1"/>
    <xf numFmtId="0" fontId="30" fillId="6" borderId="19" xfId="12" applyFont="1" applyFill="1" applyBorder="1" applyAlignment="1"/>
    <xf numFmtId="0" fontId="30" fillId="6" borderId="61" xfId="12" applyFont="1" applyFill="1" applyBorder="1" applyAlignment="1"/>
    <xf numFmtId="0" fontId="30" fillId="9" borderId="60" xfId="12" applyNumberFormat="1" applyFont="1" applyFill="1" applyBorder="1"/>
    <xf numFmtId="0" fontId="30" fillId="9" borderId="54" xfId="12" applyNumberFormat="1" applyFont="1" applyFill="1" applyBorder="1" applyAlignment="1"/>
    <xf numFmtId="0" fontId="30" fillId="9" borderId="19" xfId="12" applyNumberFormat="1" applyFont="1" applyFill="1" applyBorder="1" applyAlignment="1"/>
    <xf numFmtId="0" fontId="30" fillId="9" borderId="61" xfId="12" applyNumberFormat="1" applyFont="1" applyFill="1" applyBorder="1" applyAlignment="1"/>
    <xf numFmtId="2" fontId="30" fillId="6" borderId="59" xfId="12" applyNumberFormat="1" applyFont="1" applyFill="1" applyBorder="1" applyAlignment="1">
      <alignment horizontal="left"/>
    </xf>
    <xf numFmtId="0" fontId="30" fillId="6" borderId="35" xfId="12" applyFont="1" applyFill="1" applyBorder="1" applyAlignment="1"/>
    <xf numFmtId="0" fontId="30" fillId="6" borderId="22" xfId="12" applyFont="1" applyFill="1" applyBorder="1" applyAlignment="1"/>
    <xf numFmtId="0" fontId="30" fillId="6" borderId="40" xfId="12" applyFont="1" applyFill="1" applyBorder="1" applyAlignment="1"/>
    <xf numFmtId="4" fontId="27" fillId="0" borderId="59" xfId="12" applyNumberFormat="1" applyFont="1" applyFill="1" applyBorder="1" applyAlignment="1">
      <alignment horizontal="center" vertical="center"/>
    </xf>
    <xf numFmtId="4" fontId="30" fillId="0" borderId="40" xfId="12" applyNumberFormat="1" applyFont="1" applyFill="1" applyBorder="1" applyAlignment="1">
      <alignment horizontal="center" vertical="center"/>
    </xf>
    <xf numFmtId="4" fontId="27" fillId="10" borderId="35" xfId="12" applyNumberFormat="1" applyFont="1" applyFill="1" applyBorder="1" applyAlignment="1">
      <alignment horizontal="center" vertical="center"/>
    </xf>
    <xf numFmtId="4" fontId="27" fillId="12" borderId="35" xfId="12" applyNumberFormat="1" applyFont="1" applyFill="1" applyBorder="1" applyAlignment="1">
      <alignment horizontal="center" vertical="center"/>
    </xf>
    <xf numFmtId="4" fontId="27" fillId="13" borderId="35" xfId="12" applyNumberFormat="1" applyFont="1" applyFill="1" applyBorder="1" applyAlignment="1">
      <alignment horizontal="center" vertical="center"/>
    </xf>
    <xf numFmtId="4" fontId="27" fillId="0" borderId="35" xfId="12" applyNumberFormat="1" applyFont="1" applyFill="1" applyBorder="1" applyAlignment="1">
      <alignment horizontal="center" vertical="center"/>
    </xf>
    <xf numFmtId="4" fontId="27" fillId="11" borderId="35" xfId="12" applyNumberFormat="1" applyFont="1" applyFill="1" applyBorder="1" applyAlignment="1">
      <alignment horizontal="center" vertical="center"/>
    </xf>
    <xf numFmtId="4" fontId="27" fillId="13" borderId="59" xfId="12" applyNumberFormat="1" applyFont="1" applyFill="1" applyBorder="1" applyAlignment="1">
      <alignment horizontal="center" vertical="center"/>
    </xf>
    <xf numFmtId="4" fontId="27" fillId="11" borderId="22" xfId="12" applyNumberFormat="1" applyFont="1" applyFill="1" applyBorder="1" applyAlignment="1">
      <alignment horizontal="center" vertical="center"/>
    </xf>
    <xf numFmtId="0" fontId="27" fillId="0" borderId="60" xfId="12" applyFont="1" applyFill="1" applyBorder="1" applyAlignment="1">
      <alignment horizontal="center" vertical="center"/>
    </xf>
    <xf numFmtId="4" fontId="30" fillId="0" borderId="61" xfId="12" applyNumberFormat="1" applyFont="1" applyFill="1" applyBorder="1" applyAlignment="1">
      <alignment horizontal="center" vertical="center"/>
    </xf>
    <xf numFmtId="4" fontId="27" fillId="11" borderId="54" xfId="12" applyNumberFormat="1" applyFont="1" applyFill="1" applyBorder="1" applyAlignment="1">
      <alignment horizontal="center" vertical="center"/>
    </xf>
    <xf numFmtId="4" fontId="27" fillId="12" borderId="54" xfId="12" applyNumberFormat="1" applyFont="1" applyFill="1" applyBorder="1" applyAlignment="1">
      <alignment horizontal="center" vertical="center"/>
    </xf>
    <xf numFmtId="4" fontId="27" fillId="13" borderId="54" xfId="12" applyNumberFormat="1" applyFont="1" applyFill="1" applyBorder="1" applyAlignment="1">
      <alignment horizontal="center" vertical="center"/>
    </xf>
    <xf numFmtId="4" fontId="27" fillId="0" borderId="54" xfId="12" applyNumberFormat="1" applyFont="1" applyFill="1" applyBorder="1" applyAlignment="1">
      <alignment horizontal="center" vertical="center"/>
    </xf>
    <xf numFmtId="4" fontId="27" fillId="13" borderId="60" xfId="12" applyNumberFormat="1" applyFont="1" applyFill="1" applyBorder="1" applyAlignment="1">
      <alignment horizontal="center" vertical="center"/>
    </xf>
    <xf numFmtId="4" fontId="27" fillId="11" borderId="19" xfId="12" applyNumberFormat="1" applyFont="1" applyFill="1" applyBorder="1" applyAlignment="1">
      <alignment horizontal="center" vertical="center"/>
    </xf>
    <xf numFmtId="0" fontId="30" fillId="9" borderId="60" xfId="12" applyFont="1" applyFill="1" applyBorder="1" applyAlignment="1">
      <alignment horizontal="center" vertical="center"/>
    </xf>
    <xf numFmtId="4" fontId="30" fillId="9" borderId="61" xfId="12" applyNumberFormat="1" applyFont="1" applyFill="1" applyBorder="1" applyAlignment="1">
      <alignment horizontal="center" vertical="center"/>
    </xf>
    <xf numFmtId="0" fontId="30" fillId="9" borderId="54" xfId="12" applyFont="1" applyFill="1" applyBorder="1" applyAlignment="1">
      <alignment horizontal="center" vertical="center"/>
    </xf>
    <xf numFmtId="0" fontId="30" fillId="9" borderId="19" xfId="12" applyFont="1" applyFill="1" applyBorder="1" applyAlignment="1">
      <alignment horizontal="center" vertical="center"/>
    </xf>
    <xf numFmtId="0" fontId="30" fillId="6" borderId="60" xfId="12" applyFont="1" applyFill="1" applyBorder="1" applyAlignment="1">
      <alignment horizontal="center" vertical="center"/>
    </xf>
    <xf numFmtId="0" fontId="30" fillId="6" borderId="61" xfId="12" applyFont="1" applyFill="1" applyBorder="1" applyAlignment="1">
      <alignment horizontal="center" vertical="center"/>
    </xf>
    <xf numFmtId="0" fontId="30" fillId="6" borderId="54" xfId="12" applyFont="1" applyFill="1" applyBorder="1" applyAlignment="1">
      <alignment horizontal="center" vertical="center"/>
    </xf>
    <xf numFmtId="0" fontId="30" fillId="6" borderId="19" xfId="12" applyFont="1" applyFill="1" applyBorder="1" applyAlignment="1">
      <alignment horizontal="center" vertical="center"/>
    </xf>
    <xf numFmtId="0" fontId="30" fillId="9" borderId="61" xfId="12" applyFont="1" applyFill="1" applyBorder="1" applyAlignment="1">
      <alignment horizontal="center" vertical="center"/>
    </xf>
    <xf numFmtId="0" fontId="30" fillId="6" borderId="59" xfId="12" applyFont="1" applyFill="1" applyBorder="1" applyAlignment="1">
      <alignment horizontal="center" vertical="center"/>
    </xf>
    <xf numFmtId="0" fontId="30" fillId="6" borderId="40" xfId="12" applyFont="1" applyFill="1" applyBorder="1" applyAlignment="1">
      <alignment horizontal="center" vertical="center"/>
    </xf>
    <xf numFmtId="0" fontId="30" fillId="6" borderId="35" xfId="12" applyFont="1" applyFill="1" applyBorder="1" applyAlignment="1">
      <alignment horizontal="center" vertical="center"/>
    </xf>
    <xf numFmtId="0" fontId="30" fillId="6" borderId="22" xfId="12" applyFont="1" applyFill="1" applyBorder="1" applyAlignment="1">
      <alignment horizontal="center" vertical="center"/>
    </xf>
    <xf numFmtId="0" fontId="27" fillId="0" borderId="55" xfId="12" applyFont="1" applyFill="1" applyBorder="1" applyAlignment="1">
      <alignment horizontal="center" vertical="center"/>
    </xf>
    <xf numFmtId="4" fontId="30" fillId="0" borderId="66" xfId="12" applyNumberFormat="1" applyFont="1" applyFill="1" applyBorder="1" applyAlignment="1">
      <alignment horizontal="center" vertical="center"/>
    </xf>
    <xf numFmtId="4" fontId="27" fillId="10" borderId="48" xfId="12" applyNumberFormat="1" applyFont="1" applyFill="1" applyBorder="1" applyAlignment="1">
      <alignment horizontal="center" vertical="center"/>
    </xf>
    <xf numFmtId="4" fontId="27" fillId="12" borderId="48" xfId="12" applyNumberFormat="1" applyFont="1" applyFill="1" applyBorder="1" applyAlignment="1">
      <alignment horizontal="center" vertical="center"/>
    </xf>
    <xf numFmtId="4" fontId="27" fillId="13" borderId="48" xfId="12" applyNumberFormat="1" applyFont="1" applyFill="1" applyBorder="1" applyAlignment="1">
      <alignment horizontal="center" vertical="center"/>
    </xf>
    <xf numFmtId="4" fontId="27" fillId="0" borderId="48" xfId="12" applyNumberFormat="1" applyFont="1" applyFill="1" applyBorder="1" applyAlignment="1">
      <alignment horizontal="center" vertical="center"/>
    </xf>
    <xf numFmtId="4" fontId="27" fillId="11" borderId="48" xfId="12" applyNumberFormat="1" applyFont="1" applyFill="1" applyBorder="1" applyAlignment="1">
      <alignment horizontal="center" vertical="center"/>
    </xf>
    <xf numFmtId="4" fontId="27" fillId="13" borderId="55" xfId="12" applyNumberFormat="1" applyFont="1" applyFill="1" applyBorder="1" applyAlignment="1">
      <alignment horizontal="center" vertical="center"/>
    </xf>
    <xf numFmtId="4" fontId="27" fillId="11" borderId="49" xfId="12" applyNumberFormat="1" applyFont="1" applyFill="1" applyBorder="1" applyAlignment="1">
      <alignment horizontal="center" vertical="center"/>
    </xf>
    <xf numFmtId="0" fontId="2" fillId="0" borderId="60" xfId="12" applyFont="1" applyBorder="1" applyAlignment="1">
      <alignment horizontal="center" vertical="center"/>
    </xf>
    <xf numFmtId="0" fontId="36" fillId="0" borderId="34" xfId="22" applyFont="1" applyBorder="1" applyAlignment="1">
      <alignment horizontal="left" vertical="center" indent="2"/>
    </xf>
    <xf numFmtId="0" fontId="35" fillId="0" borderId="33" xfId="22" applyFont="1" applyBorder="1" applyAlignment="1">
      <alignment horizontal="left" vertical="center" indent="2"/>
    </xf>
    <xf numFmtId="2" fontId="35" fillId="0" borderId="21" xfId="22" applyNumberFormat="1" applyFont="1" applyBorder="1" applyAlignment="1">
      <alignment vertical="center"/>
    </xf>
    <xf numFmtId="0" fontId="35" fillId="0" borderId="6" xfId="22" applyFont="1" applyBorder="1" applyAlignment="1">
      <alignment horizontal="right" vertical="center"/>
    </xf>
    <xf numFmtId="0" fontId="35" fillId="0" borderId="9" xfId="22" applyFont="1" applyBorder="1" applyAlignment="1">
      <alignment horizontal="right" vertical="center"/>
    </xf>
    <xf numFmtId="0" fontId="36" fillId="0" borderId="34" xfId="22" applyFont="1" applyFill="1" applyBorder="1" applyAlignment="1">
      <alignment horizontal="left" vertical="center" indent="2"/>
    </xf>
    <xf numFmtId="0" fontId="35" fillId="0" borderId="33" xfId="22" applyFont="1" applyFill="1" applyBorder="1" applyAlignment="1">
      <alignment horizontal="left" vertical="center" indent="3"/>
    </xf>
    <xf numFmtId="0" fontId="35" fillId="0" borderId="6" xfId="22" applyFont="1" applyFill="1" applyBorder="1" applyAlignment="1">
      <alignment horizontal="right" vertical="center"/>
    </xf>
    <xf numFmtId="0" fontId="35" fillId="0" borderId="9" xfId="22" applyFont="1" applyFill="1" applyBorder="1" applyAlignment="1">
      <alignment horizontal="right" vertical="center"/>
    </xf>
    <xf numFmtId="0" fontId="35" fillId="0" borderId="1" xfId="22" applyFont="1" applyFill="1" applyBorder="1" applyAlignment="1">
      <alignment vertical="center"/>
    </xf>
    <xf numFmtId="2" fontId="35" fillId="0" borderId="21" xfId="22" applyNumberFormat="1" applyFont="1" applyFill="1" applyBorder="1" applyAlignment="1">
      <alignment vertical="center"/>
    </xf>
    <xf numFmtId="0" fontId="35" fillId="0" borderId="6" xfId="22" applyFont="1" applyFill="1" applyBorder="1" applyAlignment="1">
      <alignment vertical="center"/>
    </xf>
    <xf numFmtId="0" fontId="35" fillId="0" borderId="9" xfId="22" applyFont="1" applyFill="1" applyBorder="1" applyAlignment="1">
      <alignment vertical="center"/>
    </xf>
    <xf numFmtId="0" fontId="35" fillId="0" borderId="33" xfId="22" applyFont="1" applyFill="1" applyBorder="1" applyAlignment="1">
      <alignment horizontal="left" vertical="center" indent="2"/>
    </xf>
    <xf numFmtId="0" fontId="35" fillId="0" borderId="34" xfId="22" applyFont="1" applyFill="1" applyBorder="1" applyAlignment="1">
      <alignment vertical="center"/>
    </xf>
    <xf numFmtId="0" fontId="35" fillId="0" borderId="33" xfId="22" applyFont="1" applyFill="1" applyBorder="1" applyAlignment="1">
      <alignment vertical="center"/>
    </xf>
    <xf numFmtId="0" fontId="35" fillId="0" borderId="21" xfId="22" applyFont="1" applyFill="1" applyBorder="1" applyAlignment="1">
      <alignment vertical="center"/>
    </xf>
    <xf numFmtId="0" fontId="35" fillId="0" borderId="1" xfId="22" applyFont="1" applyFill="1" applyBorder="1" applyAlignment="1">
      <alignment horizontal="right" vertical="center"/>
    </xf>
    <xf numFmtId="0" fontId="35" fillId="0" borderId="21" xfId="22" applyFont="1" applyFill="1" applyBorder="1" applyAlignment="1">
      <alignment horizontal="right" vertical="center"/>
    </xf>
    <xf numFmtId="0" fontId="36" fillId="0" borderId="1" xfId="22" applyFont="1" applyFill="1" applyBorder="1" applyAlignment="1">
      <alignment horizontal="left" vertical="center" indent="2"/>
    </xf>
    <xf numFmtId="0" fontId="35" fillId="0" borderId="21" xfId="22" applyFont="1" applyFill="1" applyBorder="1" applyAlignment="1">
      <alignment horizontal="left" vertical="center" indent="2"/>
    </xf>
    <xf numFmtId="0" fontId="36" fillId="0" borderId="1" xfId="22" applyFont="1" applyBorder="1" applyAlignment="1">
      <alignment horizontal="left" vertical="center" indent="2"/>
    </xf>
    <xf numFmtId="0" fontId="35" fillId="0" borderId="21" xfId="22" applyFont="1" applyBorder="1" applyAlignment="1">
      <alignment horizontal="left" vertical="center" indent="2"/>
    </xf>
    <xf numFmtId="0" fontId="35" fillId="0" borderId="1" xfId="22" applyFont="1" applyBorder="1" applyAlignment="1">
      <alignment horizontal="right" vertical="center"/>
    </xf>
    <xf numFmtId="0" fontId="35" fillId="0" borderId="21" xfId="22" applyFont="1" applyBorder="1" applyAlignment="1">
      <alignment horizontal="right" vertical="center"/>
    </xf>
    <xf numFmtId="0" fontId="36" fillId="0" borderId="1" xfId="22" applyFont="1" applyFill="1" applyBorder="1" applyAlignment="1">
      <alignment horizontal="left" vertical="center" indent="3"/>
    </xf>
    <xf numFmtId="0" fontId="35" fillId="0" borderId="21" xfId="22" applyFont="1" applyFill="1" applyBorder="1" applyAlignment="1">
      <alignment horizontal="left" vertical="center" indent="3"/>
    </xf>
    <xf numFmtId="0" fontId="36" fillId="0" borderId="1" xfId="0" applyFont="1" applyBorder="1" applyAlignment="1">
      <alignment horizontal="left" vertical="center" indent="2"/>
    </xf>
    <xf numFmtId="0" fontId="35" fillId="0" borderId="21" xfId="0" applyFont="1" applyBorder="1" applyAlignment="1">
      <alignment horizontal="left" vertical="center" indent="2"/>
    </xf>
    <xf numFmtId="0" fontId="35" fillId="0" borderId="1" xfId="0" applyFont="1" applyBorder="1" applyAlignment="1">
      <alignment vertical="center"/>
    </xf>
    <xf numFmtId="2" fontId="35" fillId="0" borderId="21" xfId="0" applyNumberFormat="1" applyFont="1" applyBorder="1" applyAlignment="1">
      <alignment vertical="center"/>
    </xf>
    <xf numFmtId="0" fontId="35" fillId="0" borderId="1" xfId="0" applyFont="1" applyBorder="1" applyAlignment="1">
      <alignment horizontal="right" vertical="center"/>
    </xf>
    <xf numFmtId="0" fontId="35" fillId="0" borderId="21" xfId="0" applyFont="1" applyBorder="1" applyAlignment="1">
      <alignment horizontal="right" vertical="center"/>
    </xf>
    <xf numFmtId="0" fontId="36" fillId="0" borderId="34" xfId="0" applyFont="1" applyBorder="1" applyAlignment="1">
      <alignment horizontal="left" vertical="center" indent="2"/>
    </xf>
    <xf numFmtId="0" fontId="35" fillId="0" borderId="33" xfId="0" applyFont="1" applyBorder="1" applyAlignment="1">
      <alignment horizontal="left" vertical="center" indent="2"/>
    </xf>
    <xf numFmtId="0" fontId="35" fillId="0" borderId="6" xfId="0" applyFont="1" applyBorder="1" applyAlignment="1">
      <alignment horizontal="right" vertical="center"/>
    </xf>
    <xf numFmtId="0" fontId="35" fillId="0" borderId="9" xfId="0" applyFont="1" applyBorder="1" applyAlignment="1">
      <alignment horizontal="right" vertical="center"/>
    </xf>
    <xf numFmtId="0" fontId="35" fillId="0" borderId="6" xfId="0" applyFont="1" applyBorder="1" applyAlignment="1">
      <alignment vertical="center"/>
    </xf>
    <xf numFmtId="0" fontId="35" fillId="0" borderId="9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35" fillId="0" borderId="34" xfId="0" applyFont="1" applyBorder="1" applyAlignment="1">
      <alignment vertical="center"/>
    </xf>
    <xf numFmtId="0" fontId="35" fillId="0" borderId="33" xfId="0" applyFont="1" applyBorder="1" applyAlignment="1">
      <alignment vertical="center"/>
    </xf>
    <xf numFmtId="2" fontId="35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horizontal="left" vertical="center" indent="3"/>
    </xf>
    <xf numFmtId="0" fontId="35" fillId="0" borderId="21" xfId="0" applyFont="1" applyBorder="1" applyAlignment="1">
      <alignment horizontal="left" vertical="center" indent="3"/>
    </xf>
    <xf numFmtId="0" fontId="35" fillId="0" borderId="1" xfId="0" applyFont="1" applyBorder="1" applyAlignment="1">
      <alignment horizontal="left" vertical="center" indent="3"/>
    </xf>
    <xf numFmtId="2" fontId="38" fillId="0" borderId="27" xfId="0" applyNumberFormat="1" applyFont="1" applyFill="1" applyBorder="1" applyAlignment="1">
      <alignment horizontal="right"/>
    </xf>
    <xf numFmtId="0" fontId="38" fillId="0" borderId="23" xfId="0" applyFont="1" applyFill="1" applyBorder="1" applyAlignment="1">
      <alignment wrapText="1"/>
    </xf>
    <xf numFmtId="2" fontId="38" fillId="0" borderId="21" xfId="0" applyNumberFormat="1" applyFont="1" applyFill="1" applyBorder="1"/>
    <xf numFmtId="165" fontId="38" fillId="0" borderId="21" xfId="2" applyFont="1" applyFill="1" applyBorder="1"/>
    <xf numFmtId="165" fontId="38" fillId="0" borderId="21" xfId="2" applyFont="1" applyFill="1" applyBorder="1" applyAlignment="1">
      <alignment horizontal="center"/>
    </xf>
    <xf numFmtId="165" fontId="38" fillId="0" borderId="11" xfId="2" applyFont="1" applyFill="1" applyBorder="1"/>
    <xf numFmtId="165" fontId="38" fillId="0" borderId="1" xfId="0" applyNumberFormat="1" applyFont="1" applyFill="1" applyBorder="1"/>
    <xf numFmtId="0" fontId="38" fillId="0" borderId="29" xfId="0" applyFont="1" applyFill="1" applyBorder="1"/>
    <xf numFmtId="165" fontId="38" fillId="0" borderId="27" xfId="2" applyFont="1" applyFill="1" applyBorder="1" applyAlignment="1">
      <alignment horizontal="right"/>
    </xf>
    <xf numFmtId="0" fontId="38" fillId="0" borderId="21" xfId="0" applyFont="1" applyFill="1" applyBorder="1"/>
    <xf numFmtId="2" fontId="39" fillId="0" borderId="21" xfId="0" applyNumberFormat="1" applyFont="1" applyFill="1" applyBorder="1"/>
    <xf numFmtId="165" fontId="39" fillId="0" borderId="21" xfId="2" applyFont="1" applyFill="1" applyBorder="1"/>
    <xf numFmtId="165" fontId="39" fillId="0" borderId="11" xfId="2" applyFont="1" applyFill="1" applyBorder="1"/>
    <xf numFmtId="165" fontId="39" fillId="0" borderId="1" xfId="0" applyNumberFormat="1" applyFont="1" applyFill="1" applyBorder="1"/>
    <xf numFmtId="0" fontId="39" fillId="0" borderId="29" xfId="0" applyFont="1" applyFill="1" applyBorder="1"/>
    <xf numFmtId="0" fontId="40" fillId="0" borderId="27" xfId="0" applyFont="1" applyFill="1" applyBorder="1" applyAlignment="1">
      <alignment horizontal="center"/>
    </xf>
    <xf numFmtId="0" fontId="40" fillId="0" borderId="21" xfId="0" applyFont="1" applyFill="1" applyBorder="1" applyAlignment="1">
      <alignment horizontal="center"/>
    </xf>
    <xf numFmtId="0" fontId="40" fillId="0" borderId="1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40" fillId="0" borderId="29" xfId="0" applyFont="1" applyFill="1" applyBorder="1" applyAlignment="1">
      <alignment horizontal="center"/>
    </xf>
    <xf numFmtId="2" fontId="38" fillId="0" borderId="27" xfId="10" applyNumberFormat="1" applyFont="1" applyFill="1" applyBorder="1" applyAlignment="1">
      <alignment horizontal="right"/>
    </xf>
    <xf numFmtId="0" fontId="38" fillId="0" borderId="21" xfId="10" applyFont="1" applyFill="1" applyBorder="1"/>
    <xf numFmtId="2" fontId="38" fillId="0" borderId="21" xfId="10" applyNumberFormat="1" applyFont="1" applyFill="1" applyBorder="1"/>
    <xf numFmtId="43" fontId="38" fillId="0" borderId="21" xfId="27" applyFont="1" applyFill="1" applyBorder="1"/>
    <xf numFmtId="43" fontId="38" fillId="0" borderId="21" xfId="27" applyFont="1" applyFill="1" applyBorder="1" applyAlignment="1">
      <alignment horizontal="center"/>
    </xf>
    <xf numFmtId="43" fontId="38" fillId="0" borderId="11" xfId="27" applyFont="1" applyFill="1" applyBorder="1"/>
    <xf numFmtId="43" fontId="38" fillId="0" borderId="1" xfId="10" applyNumberFormat="1" applyFont="1" applyFill="1" applyBorder="1"/>
    <xf numFmtId="0" fontId="38" fillId="0" borderId="29" xfId="10" applyFont="1" applyFill="1" applyBorder="1"/>
    <xf numFmtId="0" fontId="39" fillId="0" borderId="21" xfId="0" applyFont="1" applyFill="1" applyBorder="1" applyAlignment="1">
      <alignment horizontal="right"/>
    </xf>
    <xf numFmtId="0" fontId="40" fillId="0" borderId="5" xfId="0" applyFont="1" applyFill="1" applyBorder="1" applyAlignment="1">
      <alignment horizontal="center"/>
    </xf>
    <xf numFmtId="0" fontId="40" fillId="0" borderId="9" xfId="0" applyFont="1" applyFill="1" applyBorder="1" applyAlignment="1">
      <alignment horizontal="center"/>
    </xf>
    <xf numFmtId="0" fontId="40" fillId="0" borderId="7" xfId="0" applyFont="1" applyFill="1" applyBorder="1" applyAlignment="1">
      <alignment horizontal="center"/>
    </xf>
    <xf numFmtId="0" fontId="40" fillId="0" borderId="6" xfId="0" applyFont="1" applyFill="1" applyBorder="1" applyAlignment="1">
      <alignment horizontal="center"/>
    </xf>
    <xf numFmtId="0" fontId="40" fillId="0" borderId="41" xfId="0" applyFont="1" applyFill="1" applyBorder="1" applyAlignment="1">
      <alignment horizontal="center"/>
    </xf>
    <xf numFmtId="2" fontId="38" fillId="0" borderId="27" xfId="0" applyNumberFormat="1" applyFont="1" applyBorder="1" applyAlignment="1">
      <alignment horizontal="right"/>
    </xf>
    <xf numFmtId="0" fontId="41" fillId="0" borderId="21" xfId="0" applyFont="1" applyBorder="1" applyAlignment="1">
      <alignment horizontal="center"/>
    </xf>
    <xf numFmtId="2" fontId="38" fillId="0" borderId="21" xfId="0" applyNumberFormat="1" applyFont="1" applyBorder="1"/>
    <xf numFmtId="165" fontId="38" fillId="0" borderId="23" xfId="2" applyFont="1" applyFill="1" applyBorder="1"/>
    <xf numFmtId="165" fontId="38" fillId="0" borderId="0" xfId="2" applyFont="1" applyFill="1" applyBorder="1"/>
    <xf numFmtId="165" fontId="38" fillId="0" borderId="1" xfId="0" applyNumberFormat="1" applyFont="1" applyBorder="1"/>
    <xf numFmtId="0" fontId="38" fillId="0" borderId="29" xfId="0" applyFont="1" applyBorder="1"/>
    <xf numFmtId="2" fontId="39" fillId="10" borderId="27" xfId="0" applyNumberFormat="1" applyFont="1" applyFill="1" applyBorder="1" applyAlignment="1">
      <alignment horizontal="right"/>
    </xf>
    <xf numFmtId="0" fontId="41" fillId="10" borderId="21" xfId="0" applyFont="1" applyFill="1" applyBorder="1" applyAlignment="1">
      <alignment horizontal="center"/>
    </xf>
    <xf numFmtId="2" fontId="39" fillId="10" borderId="21" xfId="0" applyNumberFormat="1" applyFont="1" applyFill="1" applyBorder="1"/>
    <xf numFmtId="165" fontId="39" fillId="10" borderId="21" xfId="2" applyFont="1" applyFill="1" applyBorder="1" applyAlignment="1">
      <alignment horizontal="center"/>
    </xf>
    <xf numFmtId="165" fontId="39" fillId="10" borderId="0" xfId="2" applyFont="1" applyFill="1" applyBorder="1"/>
    <xf numFmtId="165" fontId="41" fillId="10" borderId="1" xfId="0" applyNumberFormat="1" applyFont="1" applyFill="1" applyBorder="1"/>
    <xf numFmtId="0" fontId="41" fillId="10" borderId="29" xfId="0" applyFont="1" applyFill="1" applyBorder="1"/>
    <xf numFmtId="2" fontId="39" fillId="0" borderId="27" xfId="0" applyNumberFormat="1" applyFont="1" applyBorder="1" applyAlignment="1">
      <alignment horizontal="right"/>
    </xf>
    <xf numFmtId="0" fontId="39" fillId="0" borderId="21" xfId="0" applyFont="1" applyBorder="1" applyAlignment="1">
      <alignment horizontal="right"/>
    </xf>
    <xf numFmtId="2" fontId="39" fillId="0" borderId="21" xfId="0" applyNumberFormat="1" applyFont="1" applyBorder="1"/>
    <xf numFmtId="165" fontId="39" fillId="0" borderId="21" xfId="2" applyFont="1" applyFill="1" applyBorder="1" applyAlignment="1">
      <alignment horizontal="center"/>
    </xf>
    <xf numFmtId="165" fontId="39" fillId="0" borderId="1" xfId="0" applyNumberFormat="1" applyFont="1" applyBorder="1"/>
    <xf numFmtId="0" fontId="39" fillId="0" borderId="29" xfId="0" applyFont="1" applyBorder="1"/>
    <xf numFmtId="165" fontId="39" fillId="0" borderId="1" xfId="2" applyFont="1" applyFill="1" applyBorder="1" applyAlignment="1">
      <alignment horizontal="center"/>
    </xf>
    <xf numFmtId="165" fontId="39" fillId="0" borderId="21" xfId="2" applyFont="1" applyFill="1" applyBorder="1" applyAlignment="1"/>
    <xf numFmtId="165" fontId="39" fillId="0" borderId="0" xfId="2" applyFont="1" applyFill="1" applyBorder="1"/>
    <xf numFmtId="2" fontId="38" fillId="10" borderId="27" xfId="0" applyNumberFormat="1" applyFont="1" applyFill="1" applyBorder="1" applyAlignment="1">
      <alignment horizontal="right"/>
    </xf>
    <xf numFmtId="2" fontId="38" fillId="10" borderId="21" xfId="0" applyNumberFormat="1" applyFont="1" applyFill="1" applyBorder="1"/>
    <xf numFmtId="165" fontId="38" fillId="10" borderId="12" xfId="2" applyFont="1" applyFill="1" applyBorder="1"/>
    <xf numFmtId="165" fontId="38" fillId="10" borderId="21" xfId="2" applyFont="1" applyFill="1" applyBorder="1" applyAlignment="1">
      <alignment horizontal="center"/>
    </xf>
    <xf numFmtId="165" fontId="38" fillId="10" borderId="0" xfId="2" applyFont="1" applyFill="1" applyBorder="1"/>
    <xf numFmtId="166" fontId="40" fillId="0" borderId="27" xfId="0" applyNumberFormat="1" applyFont="1" applyBorder="1"/>
    <xf numFmtId="165" fontId="39" fillId="0" borderId="0" xfId="2" applyFont="1" applyFill="1" applyBorder="1" applyAlignment="1">
      <alignment horizontal="center"/>
    </xf>
    <xf numFmtId="2" fontId="39" fillId="3" borderId="27" xfId="0" applyNumberFormat="1" applyFont="1" applyFill="1" applyBorder="1" applyAlignment="1">
      <alignment horizontal="right"/>
    </xf>
    <xf numFmtId="0" fontId="39" fillId="3" borderId="21" xfId="0" applyFont="1" applyFill="1" applyBorder="1" applyAlignment="1">
      <alignment horizontal="right"/>
    </xf>
    <xf numFmtId="2" fontId="39" fillId="3" borderId="21" xfId="0" applyNumberFormat="1" applyFont="1" applyFill="1" applyBorder="1"/>
    <xf numFmtId="165" fontId="39" fillId="3" borderId="21" xfId="2" applyFont="1" applyFill="1" applyBorder="1" applyAlignment="1"/>
    <xf numFmtId="165" fontId="39" fillId="3" borderId="21" xfId="2" applyFont="1" applyFill="1" applyBorder="1" applyAlignment="1">
      <alignment horizontal="center"/>
    </xf>
    <xf numFmtId="165" fontId="39" fillId="3" borderId="0" xfId="2" applyFont="1" applyFill="1" applyBorder="1"/>
    <xf numFmtId="165" fontId="39" fillId="3" borderId="1" xfId="0" applyNumberFormat="1" applyFont="1" applyFill="1" applyBorder="1"/>
    <xf numFmtId="0" fontId="39" fillId="3" borderId="29" xfId="0" applyFont="1" applyFill="1" applyBorder="1"/>
    <xf numFmtId="165" fontId="39" fillId="3" borderId="14" xfId="2" applyFont="1" applyFill="1" applyBorder="1" applyAlignment="1"/>
    <xf numFmtId="165" fontId="39" fillId="3" borderId="26" xfId="2" applyFont="1" applyFill="1" applyBorder="1" applyAlignment="1"/>
    <xf numFmtId="165" fontId="39" fillId="3" borderId="11" xfId="2" applyFont="1" applyFill="1" applyBorder="1"/>
    <xf numFmtId="165" fontId="39" fillId="3" borderId="1" xfId="2" applyFont="1" applyFill="1" applyBorder="1" applyAlignment="1"/>
    <xf numFmtId="165" fontId="39" fillId="0" borderId="14" xfId="2" applyFont="1" applyFill="1" applyBorder="1" applyAlignment="1"/>
    <xf numFmtId="165" fontId="39" fillId="0" borderId="4" xfId="2" applyFont="1" applyFill="1" applyBorder="1" applyAlignment="1"/>
    <xf numFmtId="2" fontId="39" fillId="0" borderId="5" xfId="0" applyNumberFormat="1" applyFont="1" applyBorder="1" applyAlignment="1">
      <alignment horizontal="right"/>
    </xf>
    <xf numFmtId="0" fontId="39" fillId="0" borderId="9" xfId="0" applyFont="1" applyBorder="1" applyAlignment="1">
      <alignment horizontal="right"/>
    </xf>
    <xf numFmtId="2" fontId="39" fillId="0" borderId="9" xfId="0" applyNumberFormat="1" applyFont="1" applyBorder="1"/>
    <xf numFmtId="165" fontId="39" fillId="0" borderId="36" xfId="2" applyFont="1" applyFill="1" applyBorder="1" applyAlignment="1"/>
    <xf numFmtId="165" fontId="39" fillId="0" borderId="9" xfId="2" applyFont="1" applyFill="1" applyBorder="1" applyAlignment="1">
      <alignment horizontal="center"/>
    </xf>
    <xf numFmtId="165" fontId="39" fillId="0" borderId="6" xfId="0" applyNumberFormat="1" applyFont="1" applyBorder="1"/>
    <xf numFmtId="0" fontId="39" fillId="0" borderId="41" xfId="0" applyFont="1" applyBorder="1"/>
    <xf numFmtId="0" fontId="42" fillId="0" borderId="21" xfId="0" applyFont="1" applyBorder="1" applyAlignment="1">
      <alignment horizontal="center"/>
    </xf>
    <xf numFmtId="165" fontId="38" fillId="0" borderId="12" xfId="2" applyFont="1" applyFill="1" applyBorder="1"/>
    <xf numFmtId="165" fontId="38" fillId="0" borderId="20" xfId="2" applyFont="1" applyFill="1" applyBorder="1"/>
    <xf numFmtId="165" fontId="41" fillId="0" borderId="1" xfId="0" applyNumberFormat="1" applyFont="1" applyBorder="1"/>
    <xf numFmtId="0" fontId="41" fillId="0" borderId="29" xfId="0" applyFont="1" applyBorder="1"/>
    <xf numFmtId="165" fontId="39" fillId="0" borderId="9" xfId="2" applyFont="1" applyFill="1" applyBorder="1" applyAlignment="1"/>
    <xf numFmtId="165" fontId="39" fillId="0" borderId="8" xfId="2" applyFont="1" applyFill="1" applyBorder="1"/>
    <xf numFmtId="165" fontId="38" fillId="0" borderId="1" xfId="2" applyFont="1" applyFill="1" applyBorder="1"/>
    <xf numFmtId="166" fontId="40" fillId="0" borderId="5" xfId="0" applyNumberFormat="1" applyFont="1" applyBorder="1"/>
    <xf numFmtId="165" fontId="39" fillId="0" borderId="8" xfId="2" applyFont="1" applyFill="1" applyBorder="1" applyAlignment="1">
      <alignment horizontal="center"/>
    </xf>
    <xf numFmtId="165" fontId="39" fillId="0" borderId="6" xfId="2" applyFont="1" applyFill="1" applyBorder="1" applyAlignment="1">
      <alignment horizontal="center"/>
    </xf>
    <xf numFmtId="2" fontId="38" fillId="10" borderId="38" xfId="0" applyNumberFormat="1" applyFont="1" applyFill="1" applyBorder="1" applyAlignment="1">
      <alignment horizontal="right"/>
    </xf>
    <xf numFmtId="0" fontId="41" fillId="10" borderId="9" xfId="0" applyFont="1" applyFill="1" applyBorder="1" applyAlignment="1">
      <alignment horizontal="center"/>
    </xf>
    <xf numFmtId="2" fontId="38" fillId="10" borderId="9" xfId="0" applyNumberFormat="1" applyFont="1" applyFill="1" applyBorder="1"/>
    <xf numFmtId="165" fontId="38" fillId="10" borderId="6" xfId="2" applyFont="1" applyFill="1" applyBorder="1"/>
    <xf numFmtId="165" fontId="38" fillId="10" borderId="9" xfId="2" applyFont="1" applyFill="1" applyBorder="1" applyAlignment="1">
      <alignment horizontal="center"/>
    </xf>
    <xf numFmtId="165" fontId="38" fillId="10" borderId="8" xfId="2" applyFont="1" applyFill="1" applyBorder="1"/>
    <xf numFmtId="165" fontId="41" fillId="10" borderId="6" xfId="0" applyNumberFormat="1" applyFont="1" applyFill="1" applyBorder="1"/>
    <xf numFmtId="0" fontId="41" fillId="10" borderId="41" xfId="0" applyFont="1" applyFill="1" applyBorder="1"/>
    <xf numFmtId="2" fontId="38" fillId="0" borderId="37" xfId="0" applyNumberFormat="1" applyFont="1" applyBorder="1" applyAlignment="1">
      <alignment horizontal="right"/>
    </xf>
    <xf numFmtId="0" fontId="41" fillId="0" borderId="33" xfId="0" applyFont="1" applyBorder="1" applyAlignment="1">
      <alignment horizontal="center"/>
    </xf>
    <xf numFmtId="2" fontId="38" fillId="0" borderId="33" xfId="0" applyNumberFormat="1" applyFont="1" applyBorder="1"/>
    <xf numFmtId="165" fontId="38" fillId="0" borderId="34" xfId="2" applyFont="1" applyFill="1" applyBorder="1"/>
    <xf numFmtId="165" fontId="38" fillId="0" borderId="33" xfId="2" applyFont="1" applyFill="1" applyBorder="1" applyAlignment="1">
      <alignment horizontal="center"/>
    </xf>
    <xf numFmtId="165" fontId="38" fillId="0" borderId="17" xfId="2" applyFont="1" applyFill="1" applyBorder="1"/>
    <xf numFmtId="165" fontId="41" fillId="0" borderId="34" xfId="0" applyNumberFormat="1" applyFont="1" applyBorder="1"/>
    <xf numFmtId="0" fontId="41" fillId="0" borderId="18" xfId="0" applyFont="1" applyBorder="1"/>
    <xf numFmtId="165" fontId="39" fillId="0" borderId="20" xfId="2" applyFont="1" applyFill="1" applyBorder="1" applyAlignment="1"/>
    <xf numFmtId="2" fontId="39" fillId="0" borderId="27" xfId="0" applyNumberFormat="1" applyFont="1" applyFill="1" applyBorder="1" applyAlignment="1">
      <alignment horizontal="right"/>
    </xf>
    <xf numFmtId="0" fontId="39" fillId="0" borderId="21" xfId="0" applyFont="1" applyFill="1" applyBorder="1"/>
    <xf numFmtId="2" fontId="39" fillId="0" borderId="5" xfId="0" applyNumberFormat="1" applyFont="1" applyFill="1" applyBorder="1" applyAlignment="1">
      <alignment horizontal="right"/>
    </xf>
    <xf numFmtId="0" fontId="39" fillId="0" borderId="9" xfId="0" applyFont="1" applyFill="1" applyBorder="1" applyAlignment="1">
      <alignment horizontal="right"/>
    </xf>
    <xf numFmtId="2" fontId="39" fillId="0" borderId="9" xfId="0" applyNumberFormat="1" applyFont="1" applyFill="1" applyBorder="1"/>
    <xf numFmtId="165" fontId="39" fillId="0" borderId="9" xfId="2" applyFont="1" applyFill="1" applyBorder="1"/>
    <xf numFmtId="165" fontId="39" fillId="0" borderId="6" xfId="0" applyNumberFormat="1" applyFont="1" applyFill="1" applyBorder="1"/>
    <xf numFmtId="0" fontId="39" fillId="0" borderId="41" xfId="0" applyFont="1" applyFill="1" applyBorder="1"/>
    <xf numFmtId="168" fontId="43" fillId="9" borderId="45" xfId="0" applyNumberFormat="1" applyFont="1" applyFill="1" applyBorder="1" applyAlignment="1">
      <alignment horizontal="right"/>
    </xf>
    <xf numFmtId="0" fontId="43" fillId="9" borderId="52" xfId="0" applyFont="1" applyFill="1" applyBorder="1"/>
    <xf numFmtId="2" fontId="40" fillId="9" borderId="52" xfId="0" applyNumberFormat="1" applyFont="1" applyFill="1" applyBorder="1"/>
    <xf numFmtId="165" fontId="39" fillId="0" borderId="21" xfId="2" applyFont="1" applyBorder="1" applyAlignment="1">
      <alignment horizontal="center"/>
    </xf>
    <xf numFmtId="165" fontId="39" fillId="0" borderId="1" xfId="2" applyFont="1" applyBorder="1" applyAlignment="1">
      <alignment horizontal="center"/>
    </xf>
    <xf numFmtId="165" fontId="39" fillId="0" borderId="29" xfId="2" applyFont="1" applyBorder="1" applyAlignment="1">
      <alignment horizontal="left"/>
    </xf>
    <xf numFmtId="2" fontId="39" fillId="0" borderId="27" xfId="10" applyNumberFormat="1" applyFont="1" applyFill="1" applyBorder="1" applyAlignment="1">
      <alignment horizontal="right"/>
    </xf>
    <xf numFmtId="0" fontId="39" fillId="0" borderId="21" xfId="10" applyFont="1" applyFill="1" applyBorder="1" applyAlignment="1">
      <alignment horizontal="right"/>
    </xf>
    <xf numFmtId="43" fontId="39" fillId="0" borderId="21" xfId="24" applyFont="1" applyFill="1" applyBorder="1" applyAlignment="1">
      <alignment horizontal="center"/>
    </xf>
    <xf numFmtId="43" fontId="39" fillId="0" borderId="1" xfId="24" applyFont="1" applyFill="1" applyBorder="1" applyAlignment="1">
      <alignment horizontal="center"/>
    </xf>
    <xf numFmtId="43" fontId="39" fillId="0" borderId="29" xfId="24" applyFont="1" applyFill="1" applyBorder="1" applyAlignment="1">
      <alignment horizontal="left"/>
    </xf>
    <xf numFmtId="2" fontId="40" fillId="0" borderId="27" xfId="20" applyNumberFormat="1" applyFont="1" applyBorder="1" applyAlignment="1">
      <alignment horizontal="right" vertical="center"/>
    </xf>
    <xf numFmtId="0" fontId="40" fillId="0" borderId="34" xfId="7" applyFont="1" applyBorder="1"/>
    <xf numFmtId="2" fontId="40" fillId="0" borderId="1" xfId="20" applyNumberFormat="1" applyFont="1" applyBorder="1" applyAlignment="1">
      <alignment vertical="center"/>
    </xf>
    <xf numFmtId="165" fontId="40" fillId="0" borderId="1" xfId="21" applyFont="1" applyFill="1" applyBorder="1" applyAlignment="1">
      <alignment vertical="center"/>
    </xf>
    <xf numFmtId="165" fontId="40" fillId="0" borderId="1" xfId="21" applyFont="1" applyFill="1" applyBorder="1" applyAlignment="1">
      <alignment horizontal="right" vertical="center"/>
    </xf>
    <xf numFmtId="165" fontId="40" fillId="0" borderId="1" xfId="20" applyNumberFormat="1" applyFont="1" applyBorder="1" applyAlignment="1">
      <alignment vertical="center"/>
    </xf>
    <xf numFmtId="0" fontId="40" fillId="0" borderId="28" xfId="20" applyFont="1" applyBorder="1" applyAlignment="1">
      <alignment vertical="center"/>
    </xf>
    <xf numFmtId="0" fontId="40" fillId="0" borderId="21" xfId="20" applyFont="1" applyBorder="1" applyAlignment="1">
      <alignment horizontal="right" vertical="center"/>
    </xf>
    <xf numFmtId="2" fontId="40" fillId="0" borderId="21" xfId="20" applyNumberFormat="1" applyFont="1" applyBorder="1" applyAlignment="1">
      <alignment vertical="center"/>
    </xf>
    <xf numFmtId="165" fontId="40" fillId="0" borderId="21" xfId="21" applyFont="1" applyFill="1" applyBorder="1" applyAlignment="1">
      <alignment vertical="center"/>
    </xf>
    <xf numFmtId="165" fontId="40" fillId="0" borderId="0" xfId="21" applyFont="1" applyFill="1" applyBorder="1" applyAlignment="1">
      <alignment horizontal="right" vertical="center"/>
    </xf>
    <xf numFmtId="0" fontId="40" fillId="0" borderId="29" xfId="20" applyFont="1" applyBorder="1" applyAlignment="1">
      <alignment vertical="center"/>
    </xf>
    <xf numFmtId="2" fontId="40" fillId="0" borderId="21" xfId="21" applyNumberFormat="1" applyFont="1" applyFill="1" applyBorder="1" applyAlignment="1">
      <alignment vertical="center"/>
    </xf>
    <xf numFmtId="165" fontId="40" fillId="0" borderId="9" xfId="21" applyFont="1" applyFill="1" applyBorder="1" applyAlignment="1">
      <alignment vertical="center"/>
    </xf>
    <xf numFmtId="165" fontId="40" fillId="0" borderId="9" xfId="21" applyFont="1" applyFill="1" applyBorder="1" applyAlignment="1">
      <alignment horizontal="right" vertical="center"/>
    </xf>
    <xf numFmtId="165" fontId="40" fillId="0" borderId="9" xfId="20" applyNumberFormat="1" applyFont="1" applyBorder="1" applyAlignment="1">
      <alignment vertical="center"/>
    </xf>
    <xf numFmtId="165" fontId="40" fillId="0" borderId="33" xfId="21" applyFont="1" applyFill="1" applyBorder="1" applyAlignment="1">
      <alignment vertical="center"/>
    </xf>
    <xf numFmtId="165" fontId="40" fillId="0" borderId="17" xfId="21" applyFont="1" applyFill="1" applyBorder="1" applyAlignment="1">
      <alignment horizontal="right" vertical="center"/>
    </xf>
    <xf numFmtId="2" fontId="40" fillId="0" borderId="5" xfId="20" applyNumberFormat="1" applyFont="1" applyBorder="1" applyAlignment="1">
      <alignment horizontal="right" vertical="center"/>
    </xf>
    <xf numFmtId="0" fontId="40" fillId="0" borderId="9" xfId="20" applyFont="1" applyBorder="1" applyAlignment="1">
      <alignment horizontal="right" vertical="center"/>
    </xf>
    <xf numFmtId="2" fontId="40" fillId="0" borderId="9" xfId="20" applyNumberFormat="1" applyFont="1" applyBorder="1" applyAlignment="1">
      <alignment vertical="center"/>
    </xf>
    <xf numFmtId="165" fontId="40" fillId="0" borderId="8" xfId="21" applyFont="1" applyFill="1" applyBorder="1" applyAlignment="1">
      <alignment horizontal="right" vertical="center"/>
    </xf>
    <xf numFmtId="165" fontId="40" fillId="0" borderId="6" xfId="21" applyFont="1" applyFill="1" applyBorder="1" applyAlignment="1">
      <alignment vertical="center"/>
    </xf>
    <xf numFmtId="165" fontId="40" fillId="0" borderId="6" xfId="20" applyNumberFormat="1" applyFont="1" applyBorder="1" applyAlignment="1">
      <alignment vertical="center"/>
    </xf>
    <xf numFmtId="0" fontId="40" fillId="0" borderId="41" xfId="20" applyFont="1" applyBorder="1" applyAlignment="1">
      <alignment vertical="center"/>
    </xf>
    <xf numFmtId="165" fontId="40" fillId="9" borderId="52" xfId="2" applyFont="1" applyFill="1" applyBorder="1"/>
    <xf numFmtId="165" fontId="40" fillId="9" borderId="15" xfId="2" applyFont="1" applyFill="1" applyBorder="1"/>
    <xf numFmtId="165" fontId="43" fillId="9" borderId="52" xfId="0" applyNumberFormat="1" applyFont="1" applyFill="1" applyBorder="1"/>
    <xf numFmtId="0" fontId="43" fillId="9" borderId="16" xfId="0" applyFont="1" applyFill="1" applyBorder="1"/>
    <xf numFmtId="0" fontId="44" fillId="0" borderId="21" xfId="0" applyFont="1" applyBorder="1" applyAlignment="1">
      <alignment horizontal="center"/>
    </xf>
    <xf numFmtId="0" fontId="40" fillId="0" borderId="21" xfId="0" applyFont="1" applyBorder="1"/>
    <xf numFmtId="0" fontId="40" fillId="0" borderId="1" xfId="0" applyFont="1" applyBorder="1"/>
    <xf numFmtId="0" fontId="40" fillId="0" borderId="29" xfId="0" applyFont="1" applyBorder="1"/>
    <xf numFmtId="0" fontId="40" fillId="0" borderId="21" xfId="0" applyFont="1" applyFill="1" applyBorder="1"/>
    <xf numFmtId="0" fontId="40" fillId="0" borderId="1" xfId="0" applyFont="1" applyFill="1" applyBorder="1"/>
    <xf numFmtId="0" fontId="40" fillId="0" borderId="29" xfId="0" applyFont="1" applyFill="1" applyBorder="1"/>
    <xf numFmtId="165" fontId="39" fillId="0" borderId="0" xfId="2" applyFont="1" applyBorder="1" applyAlignment="1">
      <alignment horizontal="center"/>
    </xf>
    <xf numFmtId="165" fontId="39" fillId="0" borderId="65" xfId="2" applyFont="1" applyBorder="1" applyAlignment="1">
      <alignment horizontal="left"/>
    </xf>
    <xf numFmtId="2" fontId="39" fillId="0" borderId="63" xfId="0" applyNumberFormat="1" applyFont="1" applyFill="1" applyBorder="1" applyAlignment="1">
      <alignment horizontal="right"/>
    </xf>
    <xf numFmtId="0" fontId="39" fillId="0" borderId="20" xfId="0" applyFont="1" applyFill="1" applyBorder="1" applyAlignment="1">
      <alignment horizontal="right"/>
    </xf>
    <xf numFmtId="2" fontId="39" fillId="0" borderId="20" xfId="0" applyNumberFormat="1" applyFont="1" applyFill="1" applyBorder="1"/>
    <xf numFmtId="165" fontId="39" fillId="0" borderId="20" xfId="2" applyFont="1" applyFill="1" applyBorder="1" applyAlignment="1">
      <alignment horizontal="center"/>
    </xf>
    <xf numFmtId="165" fontId="39" fillId="0" borderId="12" xfId="2" applyFont="1" applyFill="1" applyBorder="1"/>
    <xf numFmtId="165" fontId="39" fillId="0" borderId="12" xfId="0" applyNumberFormat="1" applyFont="1" applyFill="1" applyBorder="1"/>
    <xf numFmtId="0" fontId="39" fillId="0" borderId="64" xfId="0" applyFont="1" applyFill="1" applyBorder="1"/>
    <xf numFmtId="166" fontId="40" fillId="0" borderId="27" xfId="0" applyNumberFormat="1" applyFont="1" applyFill="1" applyBorder="1"/>
    <xf numFmtId="0" fontId="40" fillId="0" borderId="0" xfId="0" applyFont="1" applyFill="1" applyBorder="1"/>
    <xf numFmtId="0" fontId="40" fillId="0" borderId="0" xfId="0" applyFont="1" applyBorder="1"/>
    <xf numFmtId="166" fontId="40" fillId="0" borderId="5" xfId="0" applyNumberFormat="1" applyFont="1" applyFill="1" applyBorder="1"/>
    <xf numFmtId="0" fontId="40" fillId="0" borderId="9" xfId="0" applyFont="1" applyFill="1" applyBorder="1"/>
    <xf numFmtId="0" fontId="40" fillId="0" borderId="8" xfId="0" applyFont="1" applyFill="1" applyBorder="1"/>
    <xf numFmtId="0" fontId="40" fillId="0" borderId="6" xfId="0" applyFont="1" applyFill="1" applyBorder="1"/>
    <xf numFmtId="0" fontId="40" fillId="0" borderId="41" xfId="0" applyFont="1" applyFill="1" applyBorder="1"/>
    <xf numFmtId="165" fontId="39" fillId="0" borderId="29" xfId="2" applyFont="1" applyFill="1" applyBorder="1" applyAlignment="1">
      <alignment horizontal="left"/>
    </xf>
    <xf numFmtId="2" fontId="38" fillId="8" borderId="37" xfId="0" applyNumberFormat="1" applyFont="1" applyFill="1" applyBorder="1" applyAlignment="1">
      <alignment horizontal="right"/>
    </xf>
    <xf numFmtId="0" fontId="38" fillId="8" borderId="33" xfId="0" applyFont="1" applyFill="1" applyBorder="1"/>
    <xf numFmtId="2" fontId="39" fillId="8" borderId="33" xfId="0" applyNumberFormat="1" applyFont="1" applyFill="1" applyBorder="1"/>
    <xf numFmtId="165" fontId="39" fillId="8" borderId="33" xfId="6" applyFont="1" applyFill="1" applyBorder="1"/>
    <xf numFmtId="165" fontId="39" fillId="8" borderId="33" xfId="6" applyFont="1" applyFill="1" applyBorder="1" applyAlignment="1">
      <alignment horizontal="center"/>
    </xf>
    <xf numFmtId="165" fontId="39" fillId="8" borderId="17" xfId="6" applyFont="1" applyFill="1" applyBorder="1"/>
    <xf numFmtId="165" fontId="38" fillId="8" borderId="34" xfId="0" applyNumberFormat="1" applyFont="1" applyFill="1" applyBorder="1"/>
    <xf numFmtId="0" fontId="38" fillId="8" borderId="18" xfId="0" applyFont="1" applyFill="1" applyBorder="1"/>
    <xf numFmtId="2" fontId="38" fillId="0" borderId="5" xfId="0" applyNumberFormat="1" applyFont="1" applyFill="1" applyBorder="1" applyAlignment="1">
      <alignment horizontal="right"/>
    </xf>
    <xf numFmtId="0" fontId="38" fillId="0" borderId="9" xfId="0" applyFont="1" applyFill="1" applyBorder="1"/>
    <xf numFmtId="165" fontId="39" fillId="0" borderId="9" xfId="6" applyFont="1" applyFill="1" applyBorder="1"/>
    <xf numFmtId="165" fontId="39" fillId="0" borderId="9" xfId="6" applyFont="1" applyFill="1" applyBorder="1" applyAlignment="1">
      <alignment horizontal="center"/>
    </xf>
    <xf numFmtId="165" fontId="39" fillId="0" borderId="8" xfId="6" applyFont="1" applyFill="1" applyBorder="1"/>
    <xf numFmtId="165" fontId="38" fillId="0" borderId="6" xfId="0" applyNumberFormat="1" applyFont="1" applyFill="1" applyBorder="1"/>
    <xf numFmtId="0" fontId="38" fillId="0" borderId="41" xfId="0" applyFont="1" applyFill="1" applyBorder="1"/>
    <xf numFmtId="165" fontId="39" fillId="8" borderId="33" xfId="2" applyFont="1" applyFill="1" applyBorder="1"/>
    <xf numFmtId="165" fontId="39" fillId="8" borderId="34" xfId="2" applyFont="1" applyFill="1" applyBorder="1"/>
    <xf numFmtId="165" fontId="39" fillId="8" borderId="34" xfId="0" applyNumberFormat="1" applyFont="1" applyFill="1" applyBorder="1"/>
    <xf numFmtId="0" fontId="39" fillId="8" borderId="18" xfId="0" applyFont="1" applyFill="1" applyBorder="1"/>
    <xf numFmtId="2" fontId="38" fillId="5" borderId="45" xfId="0" applyNumberFormat="1" applyFont="1" applyFill="1" applyBorder="1" applyAlignment="1">
      <alignment horizontal="right"/>
    </xf>
    <xf numFmtId="0" fontId="45" fillId="5" borderId="52" xfId="0" applyFont="1" applyFill="1" applyBorder="1"/>
    <xf numFmtId="165" fontId="38" fillId="5" borderId="46" xfId="0" applyNumberFormat="1" applyFont="1" applyFill="1" applyBorder="1"/>
    <xf numFmtId="2" fontId="38" fillId="14" borderId="27" xfId="0" applyNumberFormat="1" applyFont="1" applyFill="1" applyBorder="1" applyAlignment="1">
      <alignment horizontal="right"/>
    </xf>
    <xf numFmtId="0" fontId="46" fillId="14" borderId="21" xfId="0" applyFont="1" applyFill="1" applyBorder="1" applyAlignment="1">
      <alignment horizontal="center"/>
    </xf>
    <xf numFmtId="2" fontId="39" fillId="14" borderId="21" xfId="0" applyNumberFormat="1" applyFont="1" applyFill="1" applyBorder="1"/>
    <xf numFmtId="165" fontId="39" fillId="14" borderId="21" xfId="2" applyFont="1" applyFill="1" applyBorder="1"/>
    <xf numFmtId="165" fontId="39" fillId="14" borderId="21" xfId="2" applyFont="1" applyFill="1" applyBorder="1" applyAlignment="1"/>
    <xf numFmtId="165" fontId="39" fillId="14" borderId="1" xfId="0" applyNumberFormat="1" applyFont="1" applyFill="1" applyBorder="1"/>
    <xf numFmtId="0" fontId="39" fillId="14" borderId="40" xfId="0" applyFont="1" applyFill="1" applyBorder="1"/>
    <xf numFmtId="2" fontId="40" fillId="14" borderId="1" xfId="20" applyNumberFormat="1" applyFont="1" applyFill="1" applyBorder="1" applyAlignment="1">
      <alignment vertical="center"/>
    </xf>
    <xf numFmtId="165" fontId="40" fillId="14" borderId="1" xfId="21" applyFont="1" applyFill="1" applyBorder="1" applyAlignment="1">
      <alignment horizontal="right" vertical="center"/>
    </xf>
    <xf numFmtId="165" fontId="40" fillId="14" borderId="1" xfId="21" applyFont="1" applyFill="1" applyBorder="1" applyAlignment="1">
      <alignment horizontal="center" vertical="center"/>
    </xf>
    <xf numFmtId="165" fontId="40" fillId="14" borderId="1" xfId="21" applyFont="1" applyFill="1" applyBorder="1" applyAlignment="1">
      <alignment vertical="center"/>
    </xf>
    <xf numFmtId="165" fontId="40" fillId="14" borderId="1" xfId="20" applyNumberFormat="1" applyFont="1" applyFill="1" applyBorder="1" applyAlignment="1">
      <alignment vertical="center"/>
    </xf>
    <xf numFmtId="0" fontId="40" fillId="14" borderId="28" xfId="20" applyFont="1" applyFill="1" applyBorder="1" applyAlignment="1">
      <alignment vertical="center"/>
    </xf>
    <xf numFmtId="0" fontId="41" fillId="14" borderId="21" xfId="0" applyFont="1" applyFill="1" applyBorder="1" applyAlignment="1">
      <alignment horizontal="center"/>
    </xf>
    <xf numFmtId="165" fontId="39" fillId="14" borderId="6" xfId="2" applyFont="1" applyFill="1" applyBorder="1" applyAlignment="1"/>
    <xf numFmtId="165" fontId="39" fillId="14" borderId="9" xfId="2" applyFont="1" applyFill="1" applyBorder="1" applyAlignment="1"/>
    <xf numFmtId="0" fontId="39" fillId="14" borderId="29" xfId="0" applyFont="1" applyFill="1" applyBorder="1"/>
    <xf numFmtId="165" fontId="40" fillId="0" borderId="1" xfId="21" applyFont="1" applyFill="1" applyBorder="1" applyAlignment="1">
      <alignment horizontal="center" vertical="center"/>
    </xf>
    <xf numFmtId="0" fontId="40" fillId="0" borderId="1" xfId="20" applyFont="1" applyBorder="1" applyAlignment="1">
      <alignment horizontal="right" vertical="center"/>
    </xf>
    <xf numFmtId="0" fontId="39" fillId="0" borderId="9" xfId="0" applyFont="1" applyFill="1" applyBorder="1"/>
    <xf numFmtId="2" fontId="39" fillId="14" borderId="27" xfId="0" applyNumberFormat="1" applyFont="1" applyFill="1" applyBorder="1" applyAlignment="1">
      <alignment horizontal="right"/>
    </xf>
    <xf numFmtId="0" fontId="43" fillId="0" borderId="4" xfId="20" applyFont="1" applyBorder="1" applyAlignment="1">
      <alignment vertical="center"/>
    </xf>
    <xf numFmtId="165" fontId="43" fillId="0" borderId="1" xfId="20" applyNumberFormat="1" applyFont="1" applyBorder="1" applyAlignment="1">
      <alignment vertical="center"/>
    </xf>
    <xf numFmtId="0" fontId="43" fillId="0" borderId="28" xfId="20" applyFont="1" applyBorder="1" applyAlignment="1">
      <alignment vertical="center"/>
    </xf>
    <xf numFmtId="2" fontId="41" fillId="14" borderId="27" xfId="0" applyNumberFormat="1" applyFont="1" applyFill="1" applyBorder="1" applyAlignment="1">
      <alignment horizontal="right"/>
    </xf>
    <xf numFmtId="165" fontId="40" fillId="0" borderId="21" xfId="21" applyFont="1" applyFill="1" applyBorder="1" applyAlignment="1">
      <alignment horizontal="right" vertical="center"/>
    </xf>
    <xf numFmtId="165" fontId="40" fillId="0" borderId="0" xfId="21" applyFont="1" applyFill="1" applyBorder="1" applyAlignment="1">
      <alignment horizontal="center" vertical="center"/>
    </xf>
    <xf numFmtId="0" fontId="40" fillId="0" borderId="23" xfId="20" applyFont="1" applyBorder="1" applyAlignment="1">
      <alignment horizontal="right" vertical="center"/>
    </xf>
    <xf numFmtId="165" fontId="40" fillId="0" borderId="21" xfId="21" applyFont="1" applyFill="1" applyBorder="1" applyAlignment="1">
      <alignment horizontal="center" vertical="center"/>
    </xf>
    <xf numFmtId="165" fontId="40" fillId="0" borderId="21" xfId="20" applyNumberFormat="1" applyFont="1" applyBorder="1" applyAlignment="1">
      <alignment vertical="center"/>
    </xf>
    <xf numFmtId="2" fontId="40" fillId="0" borderId="3" xfId="20" applyNumberFormat="1" applyFont="1" applyBorder="1" applyAlignment="1">
      <alignment horizontal="right" vertical="center"/>
    </xf>
    <xf numFmtId="2" fontId="43" fillId="0" borderId="63" xfId="20" applyNumberFormat="1" applyFont="1" applyBorder="1" applyAlignment="1">
      <alignment horizontal="right" vertical="center"/>
    </xf>
    <xf numFmtId="0" fontId="43" fillId="0" borderId="21" xfId="20" applyFont="1" applyBorder="1" applyAlignment="1">
      <alignment horizontal="center" vertical="center"/>
    </xf>
    <xf numFmtId="0" fontId="38" fillId="5" borderId="16" xfId="0" applyFont="1" applyFill="1" applyBorder="1"/>
    <xf numFmtId="2" fontId="43" fillId="0" borderId="27" xfId="20" applyNumberFormat="1" applyFont="1" applyBorder="1" applyAlignment="1">
      <alignment horizontal="right" vertical="center"/>
    </xf>
    <xf numFmtId="165" fontId="40" fillId="0" borderId="0" xfId="21" applyFont="1" applyFill="1" applyBorder="1" applyAlignment="1">
      <alignment vertical="center"/>
    </xf>
    <xf numFmtId="0" fontId="40" fillId="0" borderId="8" xfId="7" applyFont="1" applyBorder="1"/>
    <xf numFmtId="2" fontId="40" fillId="0" borderId="6" xfId="20" applyNumberFormat="1" applyFont="1" applyBorder="1" applyAlignment="1">
      <alignment vertical="center"/>
    </xf>
    <xf numFmtId="165" fontId="40" fillId="0" borderId="6" xfId="21" applyFont="1" applyFill="1" applyBorder="1" applyAlignment="1">
      <alignment horizontal="right" vertical="center"/>
    </xf>
    <xf numFmtId="165" fontId="40" fillId="0" borderId="6" xfId="21" applyFont="1" applyFill="1" applyBorder="1" applyAlignment="1">
      <alignment horizontal="center" vertical="center"/>
    </xf>
    <xf numFmtId="0" fontId="40" fillId="0" borderId="10" xfId="20" applyFont="1" applyBorder="1" applyAlignment="1">
      <alignment vertical="center"/>
    </xf>
    <xf numFmtId="2" fontId="40" fillId="0" borderId="11" xfId="20" applyNumberFormat="1" applyFont="1" applyBorder="1" applyAlignment="1">
      <alignment vertical="center"/>
    </xf>
    <xf numFmtId="165" fontId="40" fillId="0" borderId="11" xfId="21" applyFont="1" applyFill="1" applyBorder="1" applyAlignment="1">
      <alignment horizontal="center" vertical="center"/>
    </xf>
    <xf numFmtId="2" fontId="40" fillId="0" borderId="4" xfId="20" applyNumberFormat="1" applyFont="1" applyBorder="1" applyAlignment="1">
      <alignment vertical="center"/>
    </xf>
    <xf numFmtId="4" fontId="40" fillId="0" borderId="1" xfId="7" applyNumberFormat="1" applyFont="1" applyBorder="1" applyAlignment="1">
      <alignment horizontal="center"/>
    </xf>
    <xf numFmtId="4" fontId="40" fillId="0" borderId="21" xfId="7" applyNumberFormat="1" applyFont="1" applyBorder="1" applyAlignment="1">
      <alignment horizontal="center"/>
    </xf>
    <xf numFmtId="0" fontId="40" fillId="0" borderId="6" xfId="7" applyFont="1" applyBorder="1"/>
    <xf numFmtId="0" fontId="40" fillId="0" borderId="1" xfId="7" applyFont="1" applyBorder="1"/>
    <xf numFmtId="4" fontId="40" fillId="0" borderId="14" xfId="7" applyNumberFormat="1" applyFont="1" applyBorder="1"/>
    <xf numFmtId="4" fontId="40" fillId="0" borderId="1" xfId="7" applyNumberFormat="1" applyFont="1" applyBorder="1"/>
    <xf numFmtId="2" fontId="40" fillId="0" borderId="27" xfId="20" applyNumberFormat="1" applyFont="1" applyFill="1" applyBorder="1" applyAlignment="1">
      <alignment horizontal="right" vertical="center"/>
    </xf>
    <xf numFmtId="0" fontId="40" fillId="0" borderId="21" xfId="20" applyFont="1" applyFill="1" applyBorder="1" applyAlignment="1">
      <alignment horizontal="right" vertical="center"/>
    </xf>
    <xf numFmtId="4" fontId="40" fillId="0" borderId="1" xfId="39" applyNumberFormat="1" applyFont="1" applyFill="1" applyBorder="1"/>
    <xf numFmtId="165" fontId="40" fillId="0" borderId="1" xfId="20" applyNumberFormat="1" applyFont="1" applyFill="1" applyBorder="1" applyAlignment="1">
      <alignment vertical="center"/>
    </xf>
    <xf numFmtId="0" fontId="40" fillId="0" borderId="28" xfId="20" applyFont="1" applyFill="1" applyBorder="1" applyAlignment="1">
      <alignment vertical="center"/>
    </xf>
    <xf numFmtId="4" fontId="40" fillId="0" borderId="1" xfId="39" applyNumberFormat="1" applyFont="1" applyFill="1" applyBorder="1" applyAlignment="1">
      <alignment horizontal="center"/>
    </xf>
    <xf numFmtId="4" fontId="40" fillId="0" borderId="21" xfId="39" applyNumberFormat="1" applyFont="1" applyFill="1" applyBorder="1"/>
    <xf numFmtId="165" fontId="40" fillId="0" borderId="21" xfId="20" applyNumberFormat="1" applyFont="1" applyFill="1" applyBorder="1" applyAlignment="1">
      <alignment vertical="center"/>
    </xf>
    <xf numFmtId="2" fontId="40" fillId="0" borderId="0" xfId="20" applyNumberFormat="1" applyFont="1" applyBorder="1" applyAlignment="1">
      <alignment vertical="center"/>
    </xf>
    <xf numFmtId="165" fontId="38" fillId="5" borderId="52" xfId="0" applyNumberFormat="1" applyFont="1" applyFill="1" applyBorder="1"/>
    <xf numFmtId="165" fontId="39" fillId="0" borderId="26" xfId="2" applyFont="1" applyFill="1" applyBorder="1"/>
    <xf numFmtId="165" fontId="39" fillId="0" borderId="19" xfId="2" applyFont="1" applyFill="1" applyBorder="1"/>
    <xf numFmtId="165" fontId="39" fillId="0" borderId="14" xfId="2" applyFont="1" applyFill="1" applyBorder="1" applyAlignment="1">
      <alignment horizontal="left"/>
    </xf>
    <xf numFmtId="165" fontId="39" fillId="0" borderId="26" xfId="0" applyNumberFormat="1" applyFont="1" applyFill="1" applyBorder="1"/>
    <xf numFmtId="0" fontId="39" fillId="0" borderId="61" xfId="0" applyFont="1" applyFill="1" applyBorder="1"/>
    <xf numFmtId="165" fontId="39" fillId="0" borderId="50" xfId="2" applyFont="1" applyFill="1" applyBorder="1"/>
    <xf numFmtId="165" fontId="39" fillId="0" borderId="49" xfId="2" applyFont="1" applyFill="1" applyBorder="1"/>
    <xf numFmtId="165" fontId="39" fillId="0" borderId="36" xfId="2" applyFont="1" applyFill="1" applyBorder="1" applyAlignment="1">
      <alignment horizontal="left"/>
    </xf>
    <xf numFmtId="165" fontId="39" fillId="0" borderId="50" xfId="0" applyNumberFormat="1" applyFont="1" applyFill="1" applyBorder="1"/>
    <xf numFmtId="0" fontId="39" fillId="0" borderId="66" xfId="0" applyFont="1" applyFill="1" applyBorder="1"/>
    <xf numFmtId="2" fontId="43" fillId="3" borderId="31" xfId="0" applyNumberFormat="1" applyFont="1" applyFill="1" applyBorder="1" applyAlignment="1">
      <alignment horizontal="right" vertical="center"/>
    </xf>
    <xf numFmtId="2" fontId="43" fillId="0" borderId="34" xfId="0" applyNumberFormat="1" applyFont="1" applyBorder="1" applyAlignment="1">
      <alignment horizontal="center" vertical="center"/>
    </xf>
    <xf numFmtId="2" fontId="40" fillId="0" borderId="34" xfId="0" applyNumberFormat="1" applyFont="1" applyBorder="1" applyAlignment="1">
      <alignment vertical="center"/>
    </xf>
    <xf numFmtId="2" fontId="40" fillId="0" borderId="32" xfId="2" applyNumberFormat="1" applyFont="1" applyFill="1" applyBorder="1" applyAlignment="1">
      <alignment vertical="center"/>
    </xf>
    <xf numFmtId="2" fontId="40" fillId="0" borderId="34" xfId="2" applyNumberFormat="1" applyFont="1" applyFill="1" applyBorder="1" applyAlignment="1">
      <alignment vertical="center"/>
    </xf>
    <xf numFmtId="2" fontId="40" fillId="0" borderId="17" xfId="2" applyNumberFormat="1" applyFont="1" applyFill="1" applyBorder="1" applyAlignment="1">
      <alignment vertical="center"/>
    </xf>
    <xf numFmtId="0" fontId="40" fillId="0" borderId="69" xfId="0" applyFont="1" applyBorder="1" applyAlignment="1">
      <alignment horizontal="center" vertical="center"/>
    </xf>
    <xf numFmtId="2" fontId="43" fillId="0" borderId="33" xfId="0" applyNumberFormat="1" applyFont="1" applyBorder="1" applyAlignment="1">
      <alignment horizontal="center" vertical="center"/>
    </xf>
    <xf numFmtId="2" fontId="40" fillId="0" borderId="33" xfId="0" applyNumberFormat="1" applyFont="1" applyBorder="1" applyAlignment="1">
      <alignment vertical="center"/>
    </xf>
    <xf numFmtId="2" fontId="40" fillId="0" borderId="33" xfId="2" applyNumberFormat="1" applyFont="1" applyFill="1" applyBorder="1" applyAlignment="1">
      <alignment vertical="center"/>
    </xf>
    <xf numFmtId="0" fontId="40" fillId="0" borderId="18" xfId="0" applyFont="1" applyBorder="1" applyAlignment="1">
      <alignment horizontal="center" vertical="center"/>
    </xf>
    <xf numFmtId="2" fontId="43" fillId="3" borderId="30" xfId="0" applyNumberFormat="1" applyFont="1" applyFill="1" applyBorder="1" applyAlignment="1">
      <alignment horizontal="right" vertical="center"/>
    </xf>
    <xf numFmtId="2" fontId="40" fillId="0" borderId="1" xfId="0" applyNumberFormat="1" applyFont="1" applyBorder="1" applyAlignment="1">
      <alignment horizontal="center" vertical="center"/>
    </xf>
    <xf numFmtId="165" fontId="40" fillId="0" borderId="11" xfId="2" applyFont="1" applyFill="1" applyBorder="1" applyAlignment="1">
      <alignment horizontal="center" vertical="center"/>
    </xf>
    <xf numFmtId="165" fontId="40" fillId="0" borderId="1" xfId="2" applyFont="1" applyFill="1" applyBorder="1" applyAlignment="1">
      <alignment horizontal="center" vertical="center"/>
    </xf>
    <xf numFmtId="165" fontId="40" fillId="0" borderId="0" xfId="2" applyFont="1" applyFill="1" applyBorder="1" applyAlignment="1">
      <alignment horizontal="center" vertical="center"/>
    </xf>
    <xf numFmtId="165" fontId="40" fillId="0" borderId="1" xfId="0" applyNumberFormat="1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1" xfId="0" applyFont="1" applyBorder="1" applyAlignment="1">
      <alignment horizontal="right" vertical="center"/>
    </xf>
    <xf numFmtId="2" fontId="43" fillId="0" borderId="1" xfId="0" applyNumberFormat="1" applyFont="1" applyBorder="1" applyAlignment="1">
      <alignment horizontal="center" vertical="center"/>
    </xf>
    <xf numFmtId="2" fontId="40" fillId="0" borderId="1" xfId="0" applyNumberFormat="1" applyFont="1" applyBorder="1" applyAlignment="1">
      <alignment vertical="center"/>
    </xf>
    <xf numFmtId="2" fontId="40" fillId="0" borderId="11" xfId="2" applyNumberFormat="1" applyFont="1" applyFill="1" applyBorder="1" applyAlignment="1">
      <alignment vertical="center"/>
    </xf>
    <xf numFmtId="2" fontId="40" fillId="0" borderId="1" xfId="2" applyNumberFormat="1" applyFont="1" applyFill="1" applyBorder="1" applyAlignment="1">
      <alignment vertical="center"/>
    </xf>
    <xf numFmtId="2" fontId="40" fillId="0" borderId="0" xfId="2" applyNumberFormat="1" applyFont="1" applyFill="1" applyBorder="1" applyAlignment="1">
      <alignment vertical="center"/>
    </xf>
    <xf numFmtId="2" fontId="43" fillId="3" borderId="5" xfId="0" applyNumberFormat="1" applyFont="1" applyFill="1" applyBorder="1" applyAlignment="1">
      <alignment horizontal="right" vertical="center"/>
    </xf>
    <xf numFmtId="2" fontId="43" fillId="0" borderId="9" xfId="0" applyNumberFormat="1" applyFont="1" applyBorder="1" applyAlignment="1">
      <alignment horizontal="center" vertical="center"/>
    </xf>
    <xf numFmtId="2" fontId="40" fillId="0" borderId="6" xfId="0" applyNumberFormat="1" applyFont="1" applyBorder="1" applyAlignment="1">
      <alignment vertical="center"/>
    </xf>
    <xf numFmtId="2" fontId="40" fillId="0" borderId="6" xfId="2" applyNumberFormat="1" applyFont="1" applyFill="1" applyBorder="1" applyAlignment="1">
      <alignment vertical="center"/>
    </xf>
    <xf numFmtId="2" fontId="40" fillId="0" borderId="6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2" fontId="40" fillId="0" borderId="21" xfId="0" applyNumberFormat="1" applyFont="1" applyFill="1" applyBorder="1"/>
    <xf numFmtId="0" fontId="40" fillId="0" borderId="33" xfId="0" applyFont="1" applyFill="1" applyBorder="1"/>
    <xf numFmtId="0" fontId="40" fillId="0" borderId="34" xfId="0" applyFont="1" applyFill="1" applyBorder="1"/>
    <xf numFmtId="165" fontId="38" fillId="8" borderId="39" xfId="2" applyFont="1" applyFill="1" applyBorder="1" applyAlignment="1">
      <alignment horizontal="center" vertical="center"/>
    </xf>
    <xf numFmtId="0" fontId="33" fillId="7" borderId="38" xfId="12" applyNumberFormat="1" applyFont="1" applyFill="1" applyBorder="1" applyAlignment="1">
      <alignment horizontal="center" vertical="center"/>
    </xf>
    <xf numFmtId="0" fontId="33" fillId="7" borderId="8" xfId="12" applyNumberFormat="1" applyFont="1" applyFill="1" applyBorder="1" applyAlignment="1">
      <alignment horizontal="center" vertical="center"/>
    </xf>
    <xf numFmtId="0" fontId="30" fillId="9" borderId="54" xfId="12" applyFont="1" applyFill="1" applyBorder="1" applyAlignment="1">
      <alignment horizontal="left"/>
    </xf>
    <xf numFmtId="0" fontId="30" fillId="9" borderId="19" xfId="12" applyFont="1" applyFill="1" applyBorder="1" applyAlignment="1">
      <alignment horizontal="left"/>
    </xf>
    <xf numFmtId="0" fontId="30" fillId="9" borderId="61" xfId="12" applyFont="1" applyFill="1" applyBorder="1" applyAlignment="1">
      <alignment horizontal="left"/>
    </xf>
    <xf numFmtId="0" fontId="38" fillId="5" borderId="70" xfId="0" applyFont="1" applyFill="1" applyBorder="1" applyAlignment="1">
      <alignment horizontal="left"/>
    </xf>
    <xf numFmtId="0" fontId="38" fillId="5" borderId="15" xfId="0" applyFont="1" applyFill="1" applyBorder="1" applyAlignment="1">
      <alignment horizontal="left"/>
    </xf>
    <xf numFmtId="0" fontId="38" fillId="5" borderId="52" xfId="0" applyFont="1" applyFill="1" applyBorder="1" applyAlignment="1">
      <alignment horizontal="left"/>
    </xf>
    <xf numFmtId="165" fontId="39" fillId="0" borderId="25" xfId="2" applyFont="1" applyBorder="1" applyAlignment="1">
      <alignment horizontal="center"/>
    </xf>
    <xf numFmtId="165" fontId="39" fillId="0" borderId="26" xfId="2" applyFont="1" applyBorder="1" applyAlignment="1">
      <alignment horizontal="center"/>
    </xf>
    <xf numFmtId="165" fontId="39" fillId="0" borderId="25" xfId="2" applyFont="1" applyFill="1" applyBorder="1" applyAlignment="1"/>
    <xf numFmtId="165" fontId="39" fillId="0" borderId="26" xfId="2" applyFont="1" applyFill="1" applyBorder="1" applyAlignment="1"/>
    <xf numFmtId="4" fontId="27" fillId="0" borderId="22" xfId="12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40" fillId="0" borderId="23" xfId="20" applyFont="1" applyBorder="1" applyAlignment="1">
      <alignment horizontal="center" vertical="center"/>
    </xf>
    <xf numFmtId="0" fontId="40" fillId="0" borderId="1" xfId="20" applyFont="1" applyBorder="1" applyAlignment="1">
      <alignment horizontal="center" vertical="center"/>
    </xf>
    <xf numFmtId="0" fontId="40" fillId="0" borderId="21" xfId="20" applyFont="1" applyBorder="1" applyAlignment="1">
      <alignment horizontal="center" vertical="center"/>
    </xf>
    <xf numFmtId="0" fontId="40" fillId="0" borderId="21" xfId="20" applyFont="1" applyFill="1" applyBorder="1" applyAlignment="1">
      <alignment horizontal="center" vertical="center"/>
    </xf>
    <xf numFmtId="0" fontId="40" fillId="0" borderId="1" xfId="20" applyFont="1" applyFill="1" applyBorder="1" applyAlignment="1">
      <alignment horizontal="center" vertical="center"/>
    </xf>
    <xf numFmtId="0" fontId="40" fillId="0" borderId="1" xfId="7" applyFont="1" applyBorder="1" applyAlignment="1">
      <alignment horizontal="center"/>
    </xf>
    <xf numFmtId="0" fontId="40" fillId="0" borderId="23" xfId="20" applyFont="1" applyBorder="1" applyAlignment="1">
      <alignment horizontal="center"/>
    </xf>
    <xf numFmtId="0" fontId="40" fillId="0" borderId="1" xfId="20" applyFont="1" applyBorder="1" applyAlignment="1">
      <alignment horizontal="center"/>
    </xf>
    <xf numFmtId="0" fontId="40" fillId="0" borderId="21" xfId="20" applyFont="1" applyBorder="1" applyAlignment="1">
      <alignment horizontal="center"/>
    </xf>
    <xf numFmtId="0" fontId="43" fillId="0" borderId="23" xfId="20" applyFont="1" applyBorder="1" applyAlignment="1">
      <alignment horizontal="center" vertical="center"/>
    </xf>
    <xf numFmtId="165" fontId="39" fillId="0" borderId="1" xfId="2" applyFont="1" applyFill="1" applyBorder="1" applyAlignment="1"/>
    <xf numFmtId="0" fontId="28" fillId="0" borderId="24" xfId="12" applyFont="1" applyBorder="1" applyAlignment="1">
      <alignment horizontal="center" vertical="center"/>
    </xf>
    <xf numFmtId="0" fontId="2" fillId="11" borderId="74" xfId="12" applyFont="1" applyFill="1" applyBorder="1" applyAlignment="1">
      <alignment horizontal="center" vertical="center"/>
    </xf>
    <xf numFmtId="0" fontId="2" fillId="12" borderId="74" xfId="12" applyFont="1" applyFill="1" applyBorder="1" applyAlignment="1">
      <alignment horizontal="center" vertical="center"/>
    </xf>
    <xf numFmtId="0" fontId="2" fillId="13" borderId="74" xfId="12" applyFont="1" applyFill="1" applyBorder="1" applyAlignment="1">
      <alignment horizontal="center" vertical="center"/>
    </xf>
    <xf numFmtId="0" fontId="2" fillId="0" borderId="74" xfId="12" applyFont="1" applyBorder="1" applyAlignment="1">
      <alignment horizontal="center" vertical="center"/>
    </xf>
    <xf numFmtId="0" fontId="2" fillId="13" borderId="73" xfId="12" applyFont="1" applyFill="1" applyBorder="1" applyAlignment="1">
      <alignment horizontal="center" vertical="center"/>
    </xf>
    <xf numFmtId="0" fontId="2" fillId="11" borderId="24" xfId="12" applyFont="1" applyFill="1" applyBorder="1" applyAlignment="1">
      <alignment horizontal="center" vertical="center"/>
    </xf>
    <xf numFmtId="4" fontId="40" fillId="0" borderId="34" xfId="39" applyNumberFormat="1" applyFont="1" applyFill="1" applyBorder="1" applyAlignment="1">
      <alignment horizontal="center"/>
    </xf>
    <xf numFmtId="4" fontId="40" fillId="0" borderId="6" xfId="39" applyNumberFormat="1" applyFont="1" applyFill="1" applyBorder="1" applyAlignment="1">
      <alignment horizontal="center"/>
    </xf>
    <xf numFmtId="4" fontId="27" fillId="10" borderId="54" xfId="12" applyNumberFormat="1" applyFont="1" applyFill="1" applyBorder="1" applyAlignment="1">
      <alignment horizontal="center" vertical="center"/>
    </xf>
    <xf numFmtId="49" fontId="30" fillId="15" borderId="58" xfId="12" applyNumberFormat="1" applyFont="1" applyFill="1" applyBorder="1" applyAlignment="1">
      <alignment horizontal="left"/>
    </xf>
    <xf numFmtId="0" fontId="25" fillId="3" borderId="37" xfId="12" applyNumberFormat="1" applyFont="1" applyFill="1" applyBorder="1" applyAlignment="1" applyProtection="1">
      <alignment vertical="center" wrapText="1"/>
      <protection locked="0"/>
    </xf>
    <xf numFmtId="0" fontId="25" fillId="3" borderId="27" xfId="12" applyNumberFormat="1" applyFont="1" applyFill="1" applyBorder="1" applyAlignment="1" applyProtection="1">
      <alignment vertical="center" wrapText="1"/>
      <protection locked="0"/>
    </xf>
    <xf numFmtId="0" fontId="26" fillId="3" borderId="27" xfId="12" applyNumberFormat="1" applyFont="1" applyFill="1" applyBorder="1" applyAlignment="1" applyProtection="1">
      <alignment vertical="center"/>
    </xf>
    <xf numFmtId="0" fontId="26" fillId="3" borderId="27" xfId="12" applyNumberFormat="1" applyFont="1" applyFill="1" applyBorder="1" applyAlignment="1">
      <alignment vertical="center"/>
    </xf>
    <xf numFmtId="0" fontId="26" fillId="3" borderId="5" xfId="12" applyNumberFormat="1" applyFont="1" applyFill="1" applyBorder="1" applyAlignment="1">
      <alignment vertical="center"/>
    </xf>
    <xf numFmtId="0" fontId="13" fillId="0" borderId="27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32" fillId="7" borderId="56" xfId="12" applyNumberFormat="1" applyFont="1" applyFill="1" applyBorder="1" applyAlignment="1">
      <alignment horizontal="center" vertical="center"/>
    </xf>
    <xf numFmtId="0" fontId="33" fillId="7" borderId="8" xfId="12" applyFont="1" applyFill="1" applyBorder="1" applyAlignment="1">
      <alignment horizontal="center" vertical="center"/>
    </xf>
    <xf numFmtId="0" fontId="33" fillId="7" borderId="8" xfId="12" applyFont="1" applyFill="1" applyBorder="1" applyAlignment="1">
      <alignment horizontal="center" vertical="center" wrapText="1"/>
    </xf>
    <xf numFmtId="0" fontId="33" fillId="7" borderId="41" xfId="12" applyFont="1" applyFill="1" applyBorder="1" applyAlignment="1">
      <alignment horizontal="center" vertical="center" wrapText="1"/>
    </xf>
    <xf numFmtId="165" fontId="39" fillId="0" borderId="23" xfId="2" applyFont="1" applyFill="1" applyBorder="1" applyAlignment="1"/>
    <xf numFmtId="0" fontId="39" fillId="0" borderId="21" xfId="0" applyFont="1" applyBorder="1" applyAlignment="1">
      <alignment horizontal="center" vertical="center"/>
    </xf>
    <xf numFmtId="0" fontId="39" fillId="3" borderId="21" xfId="0" applyFont="1" applyFill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165" fontId="39" fillId="0" borderId="6" xfId="2" applyFont="1" applyFill="1" applyBorder="1" applyAlignment="1"/>
    <xf numFmtId="0" fontId="39" fillId="0" borderId="21" xfId="10" applyFont="1" applyFill="1" applyBorder="1" applyAlignment="1">
      <alignment horizontal="center"/>
    </xf>
    <xf numFmtId="0" fontId="39" fillId="0" borderId="21" xfId="10" applyFont="1" applyFill="1" applyBorder="1" applyAlignment="1">
      <alignment horizontal="center" vertical="center"/>
    </xf>
    <xf numFmtId="0" fontId="35" fillId="0" borderId="1" xfId="22" applyFont="1" applyBorder="1" applyAlignment="1">
      <alignment horizontal="center" vertical="center"/>
    </xf>
    <xf numFmtId="0" fontId="35" fillId="0" borderId="1" xfId="22" applyFont="1" applyFill="1" applyBorder="1" applyAlignment="1">
      <alignment horizontal="center" vertical="center"/>
    </xf>
    <xf numFmtId="0" fontId="35" fillId="0" borderId="21" xfId="22" applyFont="1" applyFill="1" applyBorder="1" applyAlignment="1">
      <alignment horizontal="center" vertical="center"/>
    </xf>
    <xf numFmtId="0" fontId="36" fillId="0" borderId="34" xfId="22" applyFont="1" applyFill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21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39" fillId="0" borderId="9" xfId="0" applyFont="1" applyBorder="1" applyAlignment="1">
      <alignment horizontal="center" vertical="center"/>
    </xf>
    <xf numFmtId="165" fontId="39" fillId="0" borderId="9" xfId="2" applyFont="1" applyBorder="1" applyAlignment="1">
      <alignment horizontal="center"/>
    </xf>
    <xf numFmtId="165" fontId="39" fillId="0" borderId="28" xfId="2" applyFont="1" applyBorder="1" applyAlignment="1">
      <alignment horizontal="left"/>
    </xf>
    <xf numFmtId="0" fontId="40" fillId="0" borderId="21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7" fillId="14" borderId="1" xfId="20" applyFont="1" applyFill="1" applyBorder="1" applyAlignment="1">
      <alignment horizontal="center"/>
    </xf>
    <xf numFmtId="0" fontId="40" fillId="14" borderId="1" xfId="20" applyFont="1" applyFill="1" applyBorder="1" applyAlignment="1">
      <alignment horizontal="center"/>
    </xf>
    <xf numFmtId="0" fontId="47" fillId="0" borderId="1" xfId="20" applyFont="1" applyBorder="1" applyAlignment="1">
      <alignment horizontal="center"/>
    </xf>
    <xf numFmtId="2" fontId="39" fillId="0" borderId="63" xfId="0" applyNumberFormat="1" applyFont="1" applyBorder="1" applyAlignment="1">
      <alignment horizontal="right"/>
    </xf>
    <xf numFmtId="0" fontId="39" fillId="0" borderId="20" xfId="0" applyFont="1" applyBorder="1" applyAlignment="1">
      <alignment horizontal="center" vertical="center"/>
    </xf>
    <xf numFmtId="2" fontId="39" fillId="0" borderId="20" xfId="0" applyNumberFormat="1" applyFont="1" applyBorder="1"/>
    <xf numFmtId="165" fontId="39" fillId="0" borderId="13" xfId="2" applyFont="1" applyFill="1" applyBorder="1"/>
    <xf numFmtId="165" fontId="39" fillId="0" borderId="12" xfId="0" applyNumberFormat="1" applyFont="1" applyBorder="1"/>
    <xf numFmtId="0" fontId="39" fillId="0" borderId="64" xfId="0" applyFont="1" applyBorder="1"/>
    <xf numFmtId="166" fontId="40" fillId="0" borderId="63" xfId="0" applyNumberFormat="1" applyFont="1" applyBorder="1"/>
    <xf numFmtId="165" fontId="39" fillId="0" borderId="20" xfId="2" applyFont="1" applyBorder="1" applyAlignment="1">
      <alignment horizontal="center"/>
    </xf>
    <xf numFmtId="165" fontId="39" fillId="0" borderId="12" xfId="2" applyFont="1" applyBorder="1" applyAlignment="1">
      <alignment horizontal="center"/>
    </xf>
    <xf numFmtId="165" fontId="39" fillId="0" borderId="64" xfId="2" applyFont="1" applyBorder="1" applyAlignment="1">
      <alignment horizontal="left"/>
    </xf>
    <xf numFmtId="166" fontId="40" fillId="0" borderId="63" xfId="0" applyNumberFormat="1" applyFont="1" applyFill="1" applyBorder="1"/>
    <xf numFmtId="2" fontId="40" fillId="0" borderId="63" xfId="20" applyNumberFormat="1" applyFont="1" applyBorder="1" applyAlignment="1">
      <alignment horizontal="right" vertical="center"/>
    </xf>
    <xf numFmtId="0" fontId="40" fillId="0" borderId="24" xfId="7" applyFont="1" applyBorder="1" applyAlignment="1">
      <alignment horizontal="center"/>
    </xf>
    <xf numFmtId="2" fontId="40" fillId="0" borderId="12" xfId="20" applyNumberFormat="1" applyFont="1" applyBorder="1" applyAlignment="1">
      <alignment vertical="center"/>
    </xf>
    <xf numFmtId="165" fontId="40" fillId="0" borderId="12" xfId="21" applyFont="1" applyFill="1" applyBorder="1" applyAlignment="1">
      <alignment horizontal="right" vertical="center"/>
    </xf>
    <xf numFmtId="165" fontId="40" fillId="0" borderId="12" xfId="21" applyFont="1" applyFill="1" applyBorder="1" applyAlignment="1">
      <alignment horizontal="center" vertical="center"/>
    </xf>
    <xf numFmtId="165" fontId="40" fillId="0" borderId="12" xfId="21" applyFont="1" applyFill="1" applyBorder="1" applyAlignment="1">
      <alignment vertical="center"/>
    </xf>
    <xf numFmtId="165" fontId="40" fillId="0" borderId="12" xfId="20" applyNumberFormat="1" applyFont="1" applyBorder="1" applyAlignment="1">
      <alignment vertical="center"/>
    </xf>
    <xf numFmtId="0" fontId="40" fillId="0" borderId="65" xfId="20" applyFont="1" applyBorder="1" applyAlignment="1">
      <alignment vertical="center"/>
    </xf>
    <xf numFmtId="0" fontId="40" fillId="0" borderId="21" xfId="7" applyFont="1" applyBorder="1" applyAlignment="1">
      <alignment horizontal="center"/>
    </xf>
    <xf numFmtId="2" fontId="40" fillId="9" borderId="16" xfId="0" applyNumberFormat="1" applyFont="1" applyFill="1" applyBorder="1"/>
    <xf numFmtId="165" fontId="38" fillId="5" borderId="45" xfId="6" applyFont="1" applyFill="1" applyBorder="1"/>
    <xf numFmtId="49" fontId="35" fillId="0" borderId="27" xfId="22" applyNumberFormat="1" applyFont="1" applyBorder="1" applyAlignment="1">
      <alignment horizontal="left" vertical="center" indent="2"/>
    </xf>
    <xf numFmtId="49" fontId="35" fillId="0" borderId="27" xfId="22" applyNumberFormat="1" applyFont="1" applyFill="1" applyBorder="1" applyAlignment="1">
      <alignment horizontal="left" vertical="center" indent="3"/>
    </xf>
    <xf numFmtId="49" fontId="35" fillId="0" borderId="27" xfId="22" applyNumberFormat="1" applyFont="1" applyFill="1" applyBorder="1" applyAlignment="1">
      <alignment horizontal="left" vertical="center" indent="2"/>
    </xf>
    <xf numFmtId="0" fontId="35" fillId="0" borderId="30" xfId="22" applyFont="1" applyFill="1" applyBorder="1" applyAlignment="1">
      <alignment vertical="center"/>
    </xf>
    <xf numFmtId="49" fontId="37" fillId="0" borderId="27" xfId="22" applyNumberFormat="1" applyFont="1" applyFill="1" applyBorder="1" applyAlignment="1">
      <alignment horizontal="left" vertical="center" indent="3"/>
    </xf>
    <xf numFmtId="49" fontId="37" fillId="0" borderId="37" xfId="22" applyNumberFormat="1" applyFont="1" applyFill="1" applyBorder="1" applyAlignment="1">
      <alignment horizontal="left" vertical="center" indent="3"/>
    </xf>
    <xf numFmtId="0" fontId="40" fillId="0" borderId="0" xfId="7" applyFont="1" applyBorder="1" applyAlignment="1">
      <alignment horizontal="center"/>
    </xf>
    <xf numFmtId="0" fontId="40" fillId="0" borderId="0" xfId="7" applyFont="1" applyBorder="1"/>
    <xf numFmtId="0" fontId="40" fillId="0" borderId="0" xfId="7" applyFont="1" applyBorder="1" applyAlignment="1">
      <alignment horizontal="center" vertical="center"/>
    </xf>
    <xf numFmtId="4" fontId="40" fillId="0" borderId="0" xfId="7" applyNumberFormat="1" applyFont="1" applyBorder="1" applyAlignment="1">
      <alignment horizontal="center"/>
    </xf>
    <xf numFmtId="4" fontId="40" fillId="0" borderId="0" xfId="39" applyNumberFormat="1" applyFont="1" applyFill="1" applyBorder="1" applyAlignment="1">
      <alignment horizontal="center"/>
    </xf>
    <xf numFmtId="0" fontId="40" fillId="0" borderId="29" xfId="20" applyFont="1" applyFill="1" applyBorder="1" applyAlignment="1">
      <alignment vertical="center"/>
    </xf>
    <xf numFmtId="0" fontId="45" fillId="5" borderId="16" xfId="0" applyFont="1" applyFill="1" applyBorder="1"/>
    <xf numFmtId="165" fontId="38" fillId="5" borderId="16" xfId="0" applyNumberFormat="1" applyFont="1" applyFill="1" applyBorder="1"/>
    <xf numFmtId="49" fontId="35" fillId="0" borderId="27" xfId="0" applyNumberFormat="1" applyFont="1" applyBorder="1" applyAlignment="1">
      <alignment horizontal="left" vertical="center" indent="2"/>
    </xf>
    <xf numFmtId="0" fontId="35" fillId="0" borderId="30" xfId="0" applyFont="1" applyBorder="1" applyAlignment="1">
      <alignment vertical="center"/>
    </xf>
    <xf numFmtId="49" fontId="35" fillId="0" borderId="27" xfId="0" applyNumberFormat="1" applyFont="1" applyBorder="1" applyAlignment="1">
      <alignment horizontal="left" vertical="center" indent="3"/>
    </xf>
    <xf numFmtId="49" fontId="37" fillId="0" borderId="27" xfId="0" applyNumberFormat="1" applyFont="1" applyBorder="1" applyAlignment="1">
      <alignment horizontal="left" vertical="center" indent="3"/>
    </xf>
    <xf numFmtId="0" fontId="2" fillId="0" borderId="71" xfId="12" applyFont="1" applyBorder="1" applyAlignment="1">
      <alignment horizontal="left"/>
    </xf>
    <xf numFmtId="0" fontId="2" fillId="0" borderId="36" xfId="12" applyFont="1" applyBorder="1" applyAlignment="1">
      <alignment horizontal="left"/>
    </xf>
    <xf numFmtId="0" fontId="2" fillId="0" borderId="72" xfId="12" applyFont="1" applyBorder="1" applyAlignment="1">
      <alignment horizontal="left"/>
    </xf>
    <xf numFmtId="0" fontId="27" fillId="0" borderId="67" xfId="12" applyFont="1" applyFill="1" applyBorder="1" applyAlignment="1">
      <alignment horizontal="left"/>
    </xf>
    <xf numFmtId="0" fontId="27" fillId="0" borderId="14" xfId="12" applyFont="1" applyFill="1" applyBorder="1" applyAlignment="1">
      <alignment horizontal="left"/>
    </xf>
    <xf numFmtId="0" fontId="27" fillId="0" borderId="62" xfId="12" applyFont="1" applyFill="1" applyBorder="1" applyAlignment="1">
      <alignment horizontal="left"/>
    </xf>
    <xf numFmtId="0" fontId="30" fillId="0" borderId="67" xfId="12" applyFont="1" applyFill="1" applyBorder="1" applyAlignment="1">
      <alignment horizontal="left"/>
    </xf>
    <xf numFmtId="0" fontId="30" fillId="0" borderId="14" xfId="12" applyFont="1" applyFill="1" applyBorder="1" applyAlignment="1">
      <alignment horizontal="left"/>
    </xf>
    <xf numFmtId="0" fontId="30" fillId="0" borderId="62" xfId="12" applyFont="1" applyFill="1" applyBorder="1" applyAlignment="1">
      <alignment horizontal="left"/>
    </xf>
    <xf numFmtId="0" fontId="33" fillId="7" borderId="53" xfId="12" applyFont="1" applyFill="1" applyBorder="1" applyAlignment="1">
      <alignment horizontal="center" vertical="center" wrapText="1"/>
    </xf>
    <xf numFmtId="0" fontId="33" fillId="7" borderId="68" xfId="12" applyFont="1" applyFill="1" applyBorder="1" applyAlignment="1">
      <alignment horizontal="center" vertical="center" wrapText="1"/>
    </xf>
    <xf numFmtId="0" fontId="31" fillId="3" borderId="31" xfId="12" applyFont="1" applyFill="1" applyBorder="1" applyAlignment="1" applyProtection="1">
      <alignment horizontal="center" vertical="center"/>
      <protection locked="0"/>
    </xf>
    <xf numFmtId="0" fontId="31" fillId="3" borderId="17" xfId="12" applyFont="1" applyFill="1" applyBorder="1" applyAlignment="1" applyProtection="1">
      <alignment horizontal="center" vertical="center"/>
      <protection locked="0"/>
    </xf>
    <xf numFmtId="0" fontId="31" fillId="3" borderId="18" xfId="12" applyFont="1" applyFill="1" applyBorder="1" applyAlignment="1" applyProtection="1">
      <alignment horizontal="center" vertical="center"/>
      <protection locked="0"/>
    </xf>
    <xf numFmtId="0" fontId="31" fillId="3" borderId="38" xfId="12" applyFont="1" applyFill="1" applyBorder="1" applyAlignment="1" applyProtection="1">
      <alignment horizontal="center" vertical="center"/>
      <protection locked="0"/>
    </xf>
    <xf numFmtId="0" fontId="31" fillId="3" borderId="8" xfId="12" applyFont="1" applyFill="1" applyBorder="1" applyAlignment="1" applyProtection="1">
      <alignment horizontal="center" vertical="center"/>
      <protection locked="0"/>
    </xf>
    <xf numFmtId="0" fontId="31" fillId="3" borderId="41" xfId="12" applyFont="1" applyFill="1" applyBorder="1" applyAlignment="1" applyProtection="1">
      <alignment horizontal="center" vertical="center"/>
      <protection locked="0"/>
    </xf>
    <xf numFmtId="0" fontId="32" fillId="3" borderId="17" xfId="12" applyNumberFormat="1" applyFont="1" applyFill="1" applyBorder="1" applyAlignment="1" applyProtection="1">
      <alignment horizontal="center" vertical="center" wrapText="1"/>
      <protection locked="0"/>
    </xf>
    <xf numFmtId="0" fontId="32" fillId="3" borderId="18" xfId="12" applyNumberFormat="1" applyFont="1" applyFill="1" applyBorder="1" applyAlignment="1" applyProtection="1">
      <alignment horizontal="center" vertical="center" wrapText="1"/>
      <protection locked="0"/>
    </xf>
    <xf numFmtId="0" fontId="32" fillId="3" borderId="24" xfId="12" applyNumberFormat="1" applyFont="1" applyFill="1" applyBorder="1" applyAlignment="1" applyProtection="1">
      <alignment horizontal="center" vertical="center" wrapText="1"/>
      <protection locked="0"/>
    </xf>
    <xf numFmtId="0" fontId="32" fillId="3" borderId="64" xfId="12" applyNumberFormat="1" applyFont="1" applyFill="1" applyBorder="1" applyAlignment="1" applyProtection="1">
      <alignment horizontal="center" vertical="center" wrapText="1"/>
      <protection locked="0"/>
    </xf>
    <xf numFmtId="0" fontId="34" fillId="15" borderId="51" xfId="12" applyFont="1" applyFill="1" applyBorder="1" applyAlignment="1">
      <alignment horizontal="left" vertical="center"/>
    </xf>
    <xf numFmtId="0" fontId="34" fillId="15" borderId="15" xfId="12" applyFont="1" applyFill="1" applyBorder="1" applyAlignment="1">
      <alignment horizontal="left" vertical="center"/>
    </xf>
    <xf numFmtId="0" fontId="34" fillId="15" borderId="16" xfId="12" applyFont="1" applyFill="1" applyBorder="1" applyAlignment="1">
      <alignment horizontal="left" vertical="center"/>
    </xf>
    <xf numFmtId="0" fontId="30" fillId="6" borderId="44" xfId="12" applyFont="1" applyFill="1" applyBorder="1" applyAlignment="1">
      <alignment horizontal="left"/>
    </xf>
    <xf numFmtId="0" fontId="30" fillId="6" borderId="42" xfId="12" applyFont="1" applyFill="1" applyBorder="1" applyAlignment="1">
      <alignment horizontal="left"/>
    </xf>
    <xf numFmtId="0" fontId="30" fillId="6" borderId="43" xfId="12" applyFont="1" applyFill="1" applyBorder="1" applyAlignment="1">
      <alignment horizontal="left"/>
    </xf>
    <xf numFmtId="0" fontId="30" fillId="6" borderId="54" xfId="12" applyFont="1" applyFill="1" applyBorder="1" applyAlignment="1">
      <alignment horizontal="left" vertical="center"/>
    </xf>
    <xf numFmtId="0" fontId="30" fillId="6" borderId="19" xfId="12" applyFont="1" applyFill="1" applyBorder="1" applyAlignment="1">
      <alignment horizontal="left" vertical="center"/>
    </xf>
    <xf numFmtId="0" fontId="30" fillId="6" borderId="61" xfId="12" applyFont="1" applyFill="1" applyBorder="1" applyAlignment="1">
      <alignment horizontal="left" vertical="center"/>
    </xf>
    <xf numFmtId="0" fontId="32" fillId="7" borderId="53" xfId="12" applyNumberFormat="1" applyFont="1" applyFill="1" applyBorder="1" applyAlignment="1">
      <alignment horizontal="center" vertical="center"/>
    </xf>
    <xf numFmtId="0" fontId="32" fillId="7" borderId="68" xfId="12" applyNumberFormat="1" applyFont="1" applyFill="1" applyBorder="1" applyAlignment="1">
      <alignment horizontal="center" vertical="center"/>
    </xf>
    <xf numFmtId="0" fontId="33" fillId="7" borderId="31" xfId="12" applyNumberFormat="1" applyFont="1" applyFill="1" applyBorder="1" applyAlignment="1">
      <alignment horizontal="center" vertical="center"/>
    </xf>
    <xf numFmtId="0" fontId="33" fillId="7" borderId="17" xfId="12" applyNumberFormat="1" applyFont="1" applyFill="1" applyBorder="1" applyAlignment="1">
      <alignment horizontal="center" vertical="center"/>
    </xf>
    <xf numFmtId="0" fontId="33" fillId="7" borderId="18" xfId="12" applyNumberFormat="1" applyFont="1" applyFill="1" applyBorder="1" applyAlignment="1">
      <alignment horizontal="center" vertical="center"/>
    </xf>
    <xf numFmtId="0" fontId="33" fillId="7" borderId="38" xfId="12" applyNumberFormat="1" applyFont="1" applyFill="1" applyBorder="1" applyAlignment="1">
      <alignment horizontal="center" vertical="center"/>
    </xf>
    <xf numFmtId="0" fontId="33" fillId="7" borderId="8" xfId="12" applyNumberFormat="1" applyFont="1" applyFill="1" applyBorder="1" applyAlignment="1">
      <alignment horizontal="center" vertical="center"/>
    </xf>
    <xf numFmtId="0" fontId="33" fillId="7" borderId="41" xfId="12" applyNumberFormat="1" applyFont="1" applyFill="1" applyBorder="1" applyAlignment="1">
      <alignment horizontal="center" vertical="center"/>
    </xf>
    <xf numFmtId="0" fontId="25" fillId="3" borderId="19" xfId="12" applyFont="1" applyFill="1" applyBorder="1" applyAlignment="1" applyProtection="1">
      <alignment horizontal="left" vertical="center"/>
    </xf>
    <xf numFmtId="0" fontId="25" fillId="3" borderId="61" xfId="12" applyFont="1" applyFill="1" applyBorder="1" applyAlignment="1" applyProtection="1">
      <alignment horizontal="left" vertical="center"/>
    </xf>
    <xf numFmtId="0" fontId="30" fillId="9" borderId="54" xfId="12" applyFont="1" applyFill="1" applyBorder="1" applyAlignment="1">
      <alignment horizontal="left"/>
    </xf>
    <xf numFmtId="0" fontId="30" fillId="9" borderId="19" xfId="12" applyFont="1" applyFill="1" applyBorder="1" applyAlignment="1">
      <alignment horizontal="left"/>
    </xf>
    <xf numFmtId="0" fontId="30" fillId="9" borderId="61" xfId="12" applyFont="1" applyFill="1" applyBorder="1" applyAlignment="1">
      <alignment horizontal="left"/>
    </xf>
    <xf numFmtId="0" fontId="33" fillId="7" borderId="53" xfId="12" applyFont="1" applyFill="1" applyBorder="1" applyAlignment="1">
      <alignment horizontal="center" vertical="center"/>
    </xf>
    <xf numFmtId="0" fontId="33" fillId="7" borderId="68" xfId="12" applyFont="1" applyFill="1" applyBorder="1" applyAlignment="1">
      <alignment horizontal="center" vertical="center"/>
    </xf>
    <xf numFmtId="2" fontId="30" fillId="0" borderId="54" xfId="12" applyNumberFormat="1" applyFont="1" applyFill="1" applyBorder="1" applyAlignment="1">
      <alignment horizontal="left" vertical="center"/>
    </xf>
    <xf numFmtId="2" fontId="30" fillId="0" borderId="19" xfId="12" applyNumberFormat="1" applyFont="1" applyFill="1" applyBorder="1" applyAlignment="1">
      <alignment horizontal="left" vertical="center"/>
    </xf>
    <xf numFmtId="2" fontId="30" fillId="0" borderId="61" xfId="12" applyNumberFormat="1" applyFont="1" applyFill="1" applyBorder="1" applyAlignment="1">
      <alignment horizontal="left" vertical="center"/>
    </xf>
    <xf numFmtId="0" fontId="2" fillId="0" borderId="67" xfId="12" applyFont="1" applyBorder="1" applyAlignment="1">
      <alignment horizontal="left"/>
    </xf>
    <xf numFmtId="0" fontId="2" fillId="0" borderId="14" xfId="12" applyFont="1" applyBorder="1" applyAlignment="1">
      <alignment horizontal="left"/>
    </xf>
    <xf numFmtId="0" fontId="2" fillId="0" borderId="62" xfId="12" applyFont="1" applyBorder="1" applyAlignment="1">
      <alignment horizontal="left"/>
    </xf>
    <xf numFmtId="2" fontId="28" fillId="0" borderId="54" xfId="12" applyNumberFormat="1" applyFont="1" applyBorder="1" applyAlignment="1">
      <alignment horizontal="left"/>
    </xf>
    <xf numFmtId="2" fontId="28" fillId="0" borderId="19" xfId="12" applyNumberFormat="1" applyFont="1" applyBorder="1" applyAlignment="1">
      <alignment horizontal="left"/>
    </xf>
    <xf numFmtId="2" fontId="28" fillId="0" borderId="61" xfId="12" applyNumberFormat="1" applyFont="1" applyBorder="1" applyAlignment="1">
      <alignment horizontal="left"/>
    </xf>
    <xf numFmtId="0" fontId="27" fillId="0" borderId="48" xfId="12" applyFont="1" applyFill="1" applyBorder="1" applyAlignment="1">
      <alignment horizontal="left"/>
    </xf>
    <xf numFmtId="0" fontId="27" fillId="0" borderId="49" xfId="12" applyFont="1" applyFill="1" applyBorder="1" applyAlignment="1">
      <alignment horizontal="left"/>
    </xf>
    <xf numFmtId="0" fontId="27" fillId="0" borderId="66" xfId="12" applyFont="1" applyFill="1" applyBorder="1" applyAlignment="1">
      <alignment horizontal="left"/>
    </xf>
    <xf numFmtId="0" fontId="30" fillId="6" borderId="31" xfId="12" applyFont="1" applyFill="1" applyBorder="1" applyAlignment="1">
      <alignment horizontal="left"/>
    </xf>
    <xf numFmtId="0" fontId="30" fillId="6" borderId="17" xfId="12" applyFont="1" applyFill="1" applyBorder="1" applyAlignment="1">
      <alignment horizontal="left"/>
    </xf>
    <xf numFmtId="0" fontId="30" fillId="6" borderId="18" xfId="12" applyFont="1" applyFill="1" applyBorder="1" applyAlignment="1">
      <alignment horizontal="left"/>
    </xf>
    <xf numFmtId="0" fontId="25" fillId="3" borderId="19" xfId="12" applyFont="1" applyFill="1" applyBorder="1" applyAlignment="1">
      <alignment horizontal="left" vertical="center"/>
    </xf>
    <xf numFmtId="0" fontId="25" fillId="3" borderId="61" xfId="12" applyFont="1" applyFill="1" applyBorder="1" applyAlignment="1">
      <alignment horizontal="left" vertical="center"/>
    </xf>
    <xf numFmtId="17" fontId="25" fillId="3" borderId="49" xfId="12" applyNumberFormat="1" applyFont="1" applyFill="1" applyBorder="1" applyAlignment="1">
      <alignment horizontal="left" vertical="center"/>
    </xf>
    <xf numFmtId="17" fontId="25" fillId="3" borderId="66" xfId="12" applyNumberFormat="1" applyFont="1" applyFill="1" applyBorder="1" applyAlignment="1">
      <alignment horizontal="left" vertical="center"/>
    </xf>
    <xf numFmtId="0" fontId="45" fillId="5" borderId="70" xfId="0" applyFont="1" applyFill="1" applyBorder="1" applyAlignment="1">
      <alignment horizontal="left"/>
    </xf>
    <xf numFmtId="0" fontId="45" fillId="5" borderId="15" xfId="0" applyFont="1" applyFill="1" applyBorder="1" applyAlignment="1">
      <alignment horizontal="left"/>
    </xf>
    <xf numFmtId="0" fontId="45" fillId="5" borderId="16" xfId="0" applyFont="1" applyFill="1" applyBorder="1" applyAlignment="1">
      <alignment horizontal="left"/>
    </xf>
    <xf numFmtId="0" fontId="45" fillId="5" borderId="70" xfId="0" applyFont="1" applyFill="1" applyBorder="1" applyAlignment="1">
      <alignment horizontal="left" vertical="center"/>
    </xf>
    <xf numFmtId="0" fontId="45" fillId="5" borderId="15" xfId="0" applyFont="1" applyFill="1" applyBorder="1" applyAlignment="1">
      <alignment horizontal="left" vertical="center"/>
    </xf>
    <xf numFmtId="0" fontId="45" fillId="5" borderId="52" xfId="0" applyFont="1" applyFill="1" applyBorder="1" applyAlignment="1">
      <alignment horizontal="left" vertical="center"/>
    </xf>
    <xf numFmtId="0" fontId="38" fillId="8" borderId="47" xfId="0" applyFont="1" applyFill="1" applyBorder="1" applyAlignment="1">
      <alignment horizontal="left" vertical="center"/>
    </xf>
    <xf numFmtId="0" fontId="38" fillId="8" borderId="42" xfId="0" applyFont="1" applyFill="1" applyBorder="1" applyAlignment="1">
      <alignment horizontal="left" vertical="center"/>
    </xf>
    <xf numFmtId="0" fontId="38" fillId="8" borderId="43" xfId="0" applyFont="1" applyFill="1" applyBorder="1" applyAlignment="1">
      <alignment horizontal="left" vertical="center"/>
    </xf>
    <xf numFmtId="0" fontId="38" fillId="5" borderId="70" xfId="0" applyFont="1" applyFill="1" applyBorder="1" applyAlignment="1">
      <alignment horizontal="left"/>
    </xf>
    <xf numFmtId="0" fontId="38" fillId="5" borderId="15" xfId="0" applyFont="1" applyFill="1" applyBorder="1" applyAlignment="1">
      <alignment horizontal="left"/>
    </xf>
    <xf numFmtId="0" fontId="38" fillId="5" borderId="52" xfId="0" applyFont="1" applyFill="1" applyBorder="1" applyAlignment="1">
      <alignment horizontal="left"/>
    </xf>
    <xf numFmtId="165" fontId="38" fillId="5" borderId="70" xfId="6" applyFont="1" applyFill="1" applyBorder="1" applyAlignment="1">
      <alignment horizontal="left" vertical="center"/>
    </xf>
    <xf numFmtId="165" fontId="38" fillId="5" borderId="15" xfId="6" applyFont="1" applyFill="1" applyBorder="1" applyAlignment="1">
      <alignment horizontal="left" vertical="center"/>
    </xf>
    <xf numFmtId="165" fontId="38" fillId="5" borderId="16" xfId="6" applyFont="1" applyFill="1" applyBorder="1" applyAlignment="1">
      <alignment horizontal="left" vertical="center"/>
    </xf>
    <xf numFmtId="165" fontId="39" fillId="0" borderId="25" xfId="2" applyFont="1" applyBorder="1" applyAlignment="1">
      <alignment horizontal="center"/>
    </xf>
    <xf numFmtId="165" fontId="39" fillId="0" borderId="26" xfId="2" applyFont="1" applyBorder="1" applyAlignment="1">
      <alignment horizontal="center"/>
    </xf>
    <xf numFmtId="165" fontId="39" fillId="0" borderId="25" xfId="2" applyFont="1" applyBorder="1" applyAlignment="1">
      <alignment horizontal="left" vertical="center"/>
    </xf>
    <xf numFmtId="165" fontId="39" fillId="0" borderId="26" xfId="2" applyFont="1" applyBorder="1" applyAlignment="1">
      <alignment horizontal="left" vertical="center"/>
    </xf>
    <xf numFmtId="165" fontId="39" fillId="0" borderId="25" xfId="2" applyFont="1" applyFill="1" applyBorder="1" applyAlignment="1">
      <alignment horizontal="center"/>
    </xf>
    <xf numFmtId="165" fontId="39" fillId="0" borderId="26" xfId="2" applyFont="1" applyFill="1" applyBorder="1" applyAlignment="1">
      <alignment horizontal="center"/>
    </xf>
    <xf numFmtId="165" fontId="39" fillId="10" borderId="25" xfId="2" applyFont="1" applyFill="1" applyBorder="1" applyAlignment="1">
      <alignment horizontal="center"/>
    </xf>
    <xf numFmtId="165" fontId="39" fillId="10" borderId="26" xfId="2" applyFont="1" applyFill="1" applyBorder="1" applyAlignment="1">
      <alignment horizontal="center"/>
    </xf>
    <xf numFmtId="2" fontId="39" fillId="0" borderId="13" xfId="0" applyNumberFormat="1" applyFont="1" applyFill="1" applyBorder="1" applyAlignment="1">
      <alignment horizontal="center"/>
    </xf>
    <xf numFmtId="2" fontId="39" fillId="0" borderId="20" xfId="0" applyNumberFormat="1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165" fontId="38" fillId="0" borderId="13" xfId="2" applyFont="1" applyFill="1" applyBorder="1" applyAlignment="1">
      <alignment horizontal="center"/>
    </xf>
    <xf numFmtId="165" fontId="38" fillId="0" borderId="20" xfId="2" applyFont="1" applyFill="1" applyBorder="1" applyAlignment="1">
      <alignment horizontal="center"/>
    </xf>
    <xf numFmtId="165" fontId="39" fillId="0" borderId="25" xfId="2" applyFont="1" applyFill="1" applyBorder="1" applyAlignment="1"/>
    <xf numFmtId="165" fontId="39" fillId="0" borderId="26" xfId="2" applyFont="1" applyFill="1" applyBorder="1" applyAlignment="1"/>
    <xf numFmtId="165" fontId="40" fillId="0" borderId="25" xfId="21" applyFont="1" applyFill="1" applyBorder="1" applyAlignment="1">
      <alignment horizontal="center" vertical="center"/>
    </xf>
    <xf numFmtId="165" fontId="40" fillId="0" borderId="26" xfId="21" applyFont="1" applyFill="1" applyBorder="1" applyAlignment="1">
      <alignment horizontal="center" vertical="center"/>
    </xf>
    <xf numFmtId="2" fontId="39" fillId="0" borderId="49" xfId="0" applyNumberFormat="1" applyFont="1" applyFill="1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56">
    <cellStyle name="Euro" xfId="1" xr:uid="{00000000-0005-0000-0000-000000000000}"/>
    <cellStyle name="Euro 2" xfId="5" xr:uid="{00000000-0005-0000-0000-000001000000}"/>
    <cellStyle name="Euro 2 2" xfId="26" xr:uid="{043CCF8B-81D8-475F-9E48-495A90715785}"/>
    <cellStyle name="Millares" xfId="2" builtinId="3"/>
    <cellStyle name="Millares 2" xfId="6" xr:uid="{00000000-0005-0000-0000-000003000000}"/>
    <cellStyle name="Millares 2 2" xfId="9" xr:uid="{00000000-0005-0000-0000-000004000000}"/>
    <cellStyle name="Millares 2 2 2" xfId="19" xr:uid="{00000000-0005-0000-0000-000005000000}"/>
    <cellStyle name="Millares 2 3" xfId="27" xr:uid="{0F17E2D9-58C5-4D75-B327-1B7CEDAA0480}"/>
    <cellStyle name="Millares 3" xfId="24" xr:uid="{6DB0D035-22E7-46A3-BFBE-B1EAC305EAAA}"/>
    <cellStyle name="Millares 4" xfId="18" xr:uid="{00000000-0005-0000-0000-000006000000}"/>
    <cellStyle name="Millares 4 2" xfId="36" xr:uid="{204561D3-56D7-430D-9128-9EFF91B07F65}"/>
    <cellStyle name="Millares 6" xfId="21" xr:uid="{00000000-0005-0000-0000-000007000000}"/>
    <cellStyle name="Millares 6 2" xfId="37" xr:uid="{3CA24718-2609-430B-B6B6-8F224CB135EA}"/>
    <cellStyle name="Normal" xfId="0" builtinId="0"/>
    <cellStyle name="Normal 10" xfId="10" xr:uid="{00000000-0005-0000-0000-000009000000}"/>
    <cellStyle name="Normal 2" xfId="4" xr:uid="{00000000-0005-0000-0000-00000A000000}"/>
    <cellStyle name="Normal 2 5" xfId="8" xr:uid="{00000000-0005-0000-0000-00000B000000}"/>
    <cellStyle name="Normal 2 5 2" xfId="11" xr:uid="{00000000-0005-0000-0000-00000C000000}"/>
    <cellStyle name="Normal 2 5 2 2" xfId="14" xr:uid="{00000000-0005-0000-0000-00000D000000}"/>
    <cellStyle name="Normal 2 5 2 2 2" xfId="33" xr:uid="{6A127237-3B7F-4FCA-B03D-1DC5DF76B248}"/>
    <cellStyle name="Normal 2 5 2 2 3" xfId="44" xr:uid="{9EBC3D80-81BF-4A33-9E6C-D32EAE12BA86}"/>
    <cellStyle name="Normal 2 5 2 2 4" xfId="53" xr:uid="{F198F582-3004-49A8-9AA3-C823E428E918}"/>
    <cellStyle name="Normal 2 5 2 3" xfId="16" xr:uid="{00000000-0005-0000-0000-00000E000000}"/>
    <cellStyle name="Normal 2 5 2 3 2" xfId="35" xr:uid="{A069982A-F3DF-4BA8-B0F8-0B13096876C7}"/>
    <cellStyle name="Normal 2 5 2 3 3" xfId="46" xr:uid="{9543E43E-A244-48A9-AEC7-91FE0C1A0DD2}"/>
    <cellStyle name="Normal 2 5 2 3 4" xfId="55" xr:uid="{3B8F8524-09D8-4C64-892A-42A71B5E4EB3}"/>
    <cellStyle name="Normal 2 5 2 4" xfId="30" xr:uid="{CB65A15E-B0F4-4657-B120-FD056D83790A}"/>
    <cellStyle name="Normal 2 5 2 5" xfId="41" xr:uid="{84AD7F37-02FD-41D3-AE36-561BB7F28619}"/>
    <cellStyle name="Normal 2 5 2 6" xfId="50" xr:uid="{AB3FC979-CD33-4A31-A454-86A3A78C6D9C}"/>
    <cellStyle name="Normal 2 5 3" xfId="13" xr:uid="{00000000-0005-0000-0000-00000F000000}"/>
    <cellStyle name="Normal 2 5 3 2" xfId="32" xr:uid="{A932D613-6D8E-43A7-9889-CEDC2C27479B}"/>
    <cellStyle name="Normal 2 5 3 3" xfId="43" xr:uid="{41277950-C2D5-4914-B53E-010E4384B460}"/>
    <cellStyle name="Normal 2 5 3 4" xfId="52" xr:uid="{1A40EA9A-3EE7-4C53-BD9D-22A11DB1785A}"/>
    <cellStyle name="Normal 2 5 4" xfId="15" xr:uid="{00000000-0005-0000-0000-000010000000}"/>
    <cellStyle name="Normal 2 5 4 2" xfId="34" xr:uid="{5CF14CB8-0A87-4928-AFFB-79C2E5EC5FE9}"/>
    <cellStyle name="Normal 2 5 4 3" xfId="45" xr:uid="{BC470DC9-9102-46A3-BBB1-88719054F535}"/>
    <cellStyle name="Normal 2 5 4 4" xfId="54" xr:uid="{19FAA942-DE3A-4B09-A683-A46A2B1829D7}"/>
    <cellStyle name="Normal 2 5 5" xfId="29" xr:uid="{3C14B964-FD69-474B-A991-03B4F8484AA4}"/>
    <cellStyle name="Normal 2 5 6" xfId="40" xr:uid="{E1B2F653-F61F-4E2F-828A-6E86B3FDA5EE}"/>
    <cellStyle name="Normal 2 5 7" xfId="49" xr:uid="{5D54E781-BF4D-464B-8215-C1813E89886A}"/>
    <cellStyle name="Normal 2 7" xfId="17" xr:uid="{00000000-0005-0000-0000-000011000000}"/>
    <cellStyle name="Normal 26" xfId="20" xr:uid="{00000000-0005-0000-0000-000012000000}"/>
    <cellStyle name="Normal 3" xfId="3" xr:uid="{00000000-0005-0000-0000-000013000000}"/>
    <cellStyle name="Normal 3 2" xfId="25" xr:uid="{B66DBE9F-A565-412A-99D1-F15686F9F3D9}"/>
    <cellStyle name="Normal 3 3" xfId="38" xr:uid="{296B8BEA-5C80-4EED-AE9D-7F843F0B6116}"/>
    <cellStyle name="Normal 3 4" xfId="47" xr:uid="{E71FA72F-8016-4D9B-9827-B11F0470581A}"/>
    <cellStyle name="Normal 4" xfId="7" xr:uid="{00000000-0005-0000-0000-000014000000}"/>
    <cellStyle name="Normal 4 2" xfId="23" xr:uid="{C0716330-6BD3-4650-9EEC-81418B462FDF}"/>
    <cellStyle name="Normal 4 3" xfId="28" xr:uid="{761010C7-AAD7-4B84-918D-23EB09E5F452}"/>
    <cellStyle name="Normal 4 4" xfId="39" xr:uid="{95CBF19A-A037-4CCB-857C-CBDC9A2ABE69}"/>
    <cellStyle name="Normal 4 5" xfId="48" xr:uid="{B491B017-219E-4D70-A611-85C2D3734C67}"/>
    <cellStyle name="Normal 5" xfId="12" xr:uid="{00000000-0005-0000-0000-000015000000}"/>
    <cellStyle name="Normal 5 2" xfId="31" xr:uid="{152E289F-32C2-455E-B170-0EE1D18BFAF5}"/>
    <cellStyle name="Normal 5 3" xfId="42" xr:uid="{D1F2FB28-FB2E-4067-8EDF-4FFD3BD478DE}"/>
    <cellStyle name="Normal 5 4" xfId="51" xr:uid="{9BAC63F7-0D82-4E12-9247-779394A64D91}"/>
    <cellStyle name="Normal 6" xfId="22" xr:uid="{CA255FEB-6406-4475-940C-027B29A0A6CD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umbes\Desktop\1.00%20-%20Expediente%20Tecnico%20Canal%20de%20Riego%20Becerra%20-%20Belen%20%202019%20-%20MAYO\4.-METRADOS%20OK\METRADO%20FINAL%20BECERRA%20Y%20BELEN%2007-03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 UNT"/>
      <sheetName val="HOJA DE MATRA"/>
      <sheetName val="REL INSUMOS"/>
      <sheetName val="Hoja1"/>
      <sheetName val="EVA PRIV - SOC"/>
      <sheetName val="O-M"/>
      <sheetName val="PLAN IMPLE DEL PROY"/>
      <sheetName val="OPE Y MANT"/>
      <sheetName val="RESUMEN DE MET."/>
      <sheetName val="METRADOS.JAV."/>
      <sheetName val="PLANILLA DE ACERO"/>
      <sheetName val="CICLO TRANS"/>
      <sheetName val="Hoja5"/>
      <sheetName val="CRONO EJE"/>
      <sheetName val="PLLA DE TU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GOBIERNO REGIONAL DE TUMBES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00"/>
  <sheetViews>
    <sheetView tabSelected="1" view="pageBreakPreview" topLeftCell="A86" zoomScale="70" zoomScaleNormal="70" zoomScaleSheetLayoutView="70" workbookViewId="0">
      <pane xSplit="1" topLeftCell="B1" activePane="topRight" state="frozen"/>
      <selection activeCell="A4" sqref="A4"/>
      <selection pane="topRight" activeCell="AI110" sqref="AI110"/>
    </sheetView>
  </sheetViews>
  <sheetFormatPr baseColWidth="10" defaultRowHeight="15" x14ac:dyDescent="0.25"/>
  <cols>
    <col min="1" max="1" width="13" style="15" customWidth="1"/>
    <col min="2" max="6" width="11.42578125" style="15"/>
    <col min="7" max="7" width="46.28515625" style="15" customWidth="1"/>
    <col min="8" max="8" width="11.42578125" style="15"/>
    <col min="9" max="9" width="14.28515625" style="29" hidden="1" customWidth="1"/>
    <col min="10" max="10" width="13.7109375" style="45" hidden="1" customWidth="1"/>
    <col min="11" max="11" width="13.7109375" style="46" hidden="1" customWidth="1"/>
    <col min="12" max="12" width="13.7109375" style="48" hidden="1" customWidth="1"/>
    <col min="13" max="14" width="13.7109375" style="49" hidden="1" customWidth="1"/>
    <col min="15" max="15" width="13.7109375" style="45" hidden="1" customWidth="1"/>
    <col min="16" max="16" width="13.7109375" style="46" hidden="1" customWidth="1"/>
    <col min="17" max="17" width="13.7109375" style="47" hidden="1" customWidth="1"/>
    <col min="18" max="18" width="13.7109375" style="28" hidden="1" customWidth="1"/>
    <col min="19" max="19" width="13.7109375" style="46" hidden="1" customWidth="1"/>
    <col min="20" max="20" width="13.7109375" style="48" hidden="1" customWidth="1"/>
    <col min="21" max="21" width="13.7109375" style="49" hidden="1" customWidth="1"/>
    <col min="22" max="22" width="13.7109375" style="45" hidden="1" customWidth="1"/>
    <col min="23" max="23" width="13.7109375" style="46" hidden="1" customWidth="1"/>
    <col min="24" max="24" width="13.7109375" style="48" hidden="1" customWidth="1"/>
    <col min="25" max="25" width="13.7109375" style="45" hidden="1" customWidth="1"/>
    <col min="26" max="26" width="13.7109375" style="46" hidden="1" customWidth="1"/>
    <col min="27" max="28" width="13.7109375" style="48" hidden="1" customWidth="1"/>
    <col min="29" max="29" width="12.42578125" style="86" customWidth="1"/>
    <col min="30" max="32" width="13.7109375" style="86" customWidth="1"/>
    <col min="33" max="33" width="11.7109375" style="86" customWidth="1"/>
    <col min="34" max="34" width="13.140625" style="86" customWidth="1"/>
    <col min="35" max="35" width="17.140625" style="86" customWidth="1"/>
    <col min="36" max="276" width="11.42578125" style="86"/>
    <col min="277" max="277" width="46.5703125" style="86" customWidth="1"/>
    <col min="278" max="532" width="11.42578125" style="86"/>
    <col min="533" max="533" width="46.5703125" style="86" customWidth="1"/>
    <col min="534" max="788" width="11.42578125" style="86"/>
    <col min="789" max="789" width="46.5703125" style="86" customWidth="1"/>
    <col min="790" max="1044" width="11.42578125" style="86"/>
    <col min="1045" max="1045" width="46.5703125" style="86" customWidth="1"/>
    <col min="1046" max="1300" width="11.42578125" style="86"/>
    <col min="1301" max="1301" width="46.5703125" style="86" customWidth="1"/>
    <col min="1302" max="1556" width="11.42578125" style="86"/>
    <col min="1557" max="1557" width="46.5703125" style="86" customWidth="1"/>
    <col min="1558" max="1812" width="11.42578125" style="86"/>
    <col min="1813" max="1813" width="46.5703125" style="86" customWidth="1"/>
    <col min="1814" max="2068" width="11.42578125" style="86"/>
    <col min="2069" max="2069" width="46.5703125" style="86" customWidth="1"/>
    <col min="2070" max="2324" width="11.42578125" style="86"/>
    <col min="2325" max="2325" width="46.5703125" style="86" customWidth="1"/>
    <col min="2326" max="2580" width="11.42578125" style="86"/>
    <col min="2581" max="2581" width="46.5703125" style="86" customWidth="1"/>
    <col min="2582" max="2836" width="11.42578125" style="86"/>
    <col min="2837" max="2837" width="46.5703125" style="86" customWidth="1"/>
    <col min="2838" max="3092" width="11.42578125" style="86"/>
    <col min="3093" max="3093" width="46.5703125" style="86" customWidth="1"/>
    <col min="3094" max="3348" width="11.42578125" style="86"/>
    <col min="3349" max="3349" width="46.5703125" style="86" customWidth="1"/>
    <col min="3350" max="3604" width="11.42578125" style="86"/>
    <col min="3605" max="3605" width="46.5703125" style="86" customWidth="1"/>
    <col min="3606" max="3860" width="11.42578125" style="86"/>
    <col min="3861" max="3861" width="46.5703125" style="86" customWidth="1"/>
    <col min="3862" max="4116" width="11.42578125" style="86"/>
    <col min="4117" max="4117" width="46.5703125" style="86" customWidth="1"/>
    <col min="4118" max="4372" width="11.42578125" style="86"/>
    <col min="4373" max="4373" width="46.5703125" style="86" customWidth="1"/>
    <col min="4374" max="4628" width="11.42578125" style="86"/>
    <col min="4629" max="4629" width="46.5703125" style="86" customWidth="1"/>
    <col min="4630" max="4884" width="11.42578125" style="86"/>
    <col min="4885" max="4885" width="46.5703125" style="86" customWidth="1"/>
    <col min="4886" max="5140" width="11.42578125" style="86"/>
    <col min="5141" max="5141" width="46.5703125" style="86" customWidth="1"/>
    <col min="5142" max="5396" width="11.42578125" style="86"/>
    <col min="5397" max="5397" width="46.5703125" style="86" customWidth="1"/>
    <col min="5398" max="5652" width="11.42578125" style="86"/>
    <col min="5653" max="5653" width="46.5703125" style="86" customWidth="1"/>
    <col min="5654" max="5908" width="11.42578125" style="86"/>
    <col min="5909" max="5909" width="46.5703125" style="86" customWidth="1"/>
    <col min="5910" max="6164" width="11.42578125" style="86"/>
    <col min="6165" max="6165" width="46.5703125" style="86" customWidth="1"/>
    <col min="6166" max="6420" width="11.42578125" style="86"/>
    <col min="6421" max="6421" width="46.5703125" style="86" customWidth="1"/>
    <col min="6422" max="6676" width="11.42578125" style="86"/>
    <col min="6677" max="6677" width="46.5703125" style="86" customWidth="1"/>
    <col min="6678" max="6932" width="11.42578125" style="86"/>
    <col min="6933" max="6933" width="46.5703125" style="86" customWidth="1"/>
    <col min="6934" max="7188" width="11.42578125" style="86"/>
    <col min="7189" max="7189" width="46.5703125" style="86" customWidth="1"/>
    <col min="7190" max="7444" width="11.42578125" style="86"/>
    <col min="7445" max="7445" width="46.5703125" style="86" customWidth="1"/>
    <col min="7446" max="7700" width="11.42578125" style="86"/>
    <col min="7701" max="7701" width="46.5703125" style="86" customWidth="1"/>
    <col min="7702" max="7956" width="11.42578125" style="86"/>
    <col min="7957" max="7957" width="46.5703125" style="86" customWidth="1"/>
    <col min="7958" max="8212" width="11.42578125" style="86"/>
    <col min="8213" max="8213" width="46.5703125" style="86" customWidth="1"/>
    <col min="8214" max="8468" width="11.42578125" style="86"/>
    <col min="8469" max="8469" width="46.5703125" style="86" customWidth="1"/>
    <col min="8470" max="8724" width="11.42578125" style="86"/>
    <col min="8725" max="8725" width="46.5703125" style="86" customWidth="1"/>
    <col min="8726" max="8980" width="11.42578125" style="86"/>
    <col min="8981" max="8981" width="46.5703125" style="86" customWidth="1"/>
    <col min="8982" max="9236" width="11.42578125" style="86"/>
    <col min="9237" max="9237" width="46.5703125" style="86" customWidth="1"/>
    <col min="9238" max="9492" width="11.42578125" style="86"/>
    <col min="9493" max="9493" width="46.5703125" style="86" customWidth="1"/>
    <col min="9494" max="9748" width="11.42578125" style="86"/>
    <col min="9749" max="9749" width="46.5703125" style="86" customWidth="1"/>
    <col min="9750" max="10004" width="11.42578125" style="86"/>
    <col min="10005" max="10005" width="46.5703125" style="86" customWidth="1"/>
    <col min="10006" max="10260" width="11.42578125" style="86"/>
    <col min="10261" max="10261" width="46.5703125" style="86" customWidth="1"/>
    <col min="10262" max="10516" width="11.42578125" style="86"/>
    <col min="10517" max="10517" width="46.5703125" style="86" customWidth="1"/>
    <col min="10518" max="10772" width="11.42578125" style="86"/>
    <col min="10773" max="10773" width="46.5703125" style="86" customWidth="1"/>
    <col min="10774" max="11028" width="11.42578125" style="86"/>
    <col min="11029" max="11029" width="46.5703125" style="86" customWidth="1"/>
    <col min="11030" max="11284" width="11.42578125" style="86"/>
    <col min="11285" max="11285" width="46.5703125" style="86" customWidth="1"/>
    <col min="11286" max="11540" width="11.42578125" style="86"/>
    <col min="11541" max="11541" width="46.5703125" style="86" customWidth="1"/>
    <col min="11542" max="11796" width="11.42578125" style="86"/>
    <col min="11797" max="11797" width="46.5703125" style="86" customWidth="1"/>
    <col min="11798" max="12052" width="11.42578125" style="86"/>
    <col min="12053" max="12053" width="46.5703125" style="86" customWidth="1"/>
    <col min="12054" max="12308" width="11.42578125" style="86"/>
    <col min="12309" max="12309" width="46.5703125" style="86" customWidth="1"/>
    <col min="12310" max="12564" width="11.42578125" style="86"/>
    <col min="12565" max="12565" width="46.5703125" style="86" customWidth="1"/>
    <col min="12566" max="12820" width="11.42578125" style="86"/>
    <col min="12821" max="12821" width="46.5703125" style="86" customWidth="1"/>
    <col min="12822" max="13076" width="11.42578125" style="86"/>
    <col min="13077" max="13077" width="46.5703125" style="86" customWidth="1"/>
    <col min="13078" max="13332" width="11.42578125" style="86"/>
    <col min="13333" max="13333" width="46.5703125" style="86" customWidth="1"/>
    <col min="13334" max="13588" width="11.42578125" style="86"/>
    <col min="13589" max="13589" width="46.5703125" style="86" customWidth="1"/>
    <col min="13590" max="13844" width="11.42578125" style="86"/>
    <col min="13845" max="13845" width="46.5703125" style="86" customWidth="1"/>
    <col min="13846" max="14100" width="11.42578125" style="86"/>
    <col min="14101" max="14101" width="46.5703125" style="86" customWidth="1"/>
    <col min="14102" max="14356" width="11.42578125" style="86"/>
    <col min="14357" max="14357" width="46.5703125" style="86" customWidth="1"/>
    <col min="14358" max="14612" width="11.42578125" style="86"/>
    <col min="14613" max="14613" width="46.5703125" style="86" customWidth="1"/>
    <col min="14614" max="14868" width="11.42578125" style="86"/>
    <col min="14869" max="14869" width="46.5703125" style="86" customWidth="1"/>
    <col min="14870" max="15124" width="11.42578125" style="86"/>
    <col min="15125" max="15125" width="46.5703125" style="86" customWidth="1"/>
    <col min="15126" max="15380" width="11.42578125" style="86"/>
    <col min="15381" max="15381" width="46.5703125" style="86" customWidth="1"/>
    <col min="15382" max="15636" width="11.42578125" style="86"/>
    <col min="15637" max="15637" width="46.5703125" style="86" customWidth="1"/>
    <col min="15638" max="15892" width="11.42578125" style="86"/>
    <col min="15893" max="15893" width="46.5703125" style="86" customWidth="1"/>
    <col min="15894" max="16148" width="11.42578125" style="86"/>
    <col min="16149" max="16149" width="46.5703125" style="86" customWidth="1"/>
    <col min="16150" max="16384" width="11.42578125" style="86"/>
  </cols>
  <sheetData>
    <row r="1" spans="1:35" s="15" customFormat="1" ht="18" customHeight="1" x14ac:dyDescent="0.25">
      <c r="A1" s="643" t="s">
        <v>18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5"/>
      <c r="AD1" s="80"/>
      <c r="AE1" s="81"/>
      <c r="AF1" s="81"/>
      <c r="AG1" s="81"/>
      <c r="AH1" s="81"/>
      <c r="AI1" s="81"/>
    </row>
    <row r="2" spans="1:35" s="16" customFormat="1" ht="12.75" customHeight="1" thickBot="1" x14ac:dyDescent="0.3">
      <c r="A2" s="646"/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8"/>
      <c r="AD2" s="82"/>
      <c r="AE2" s="83"/>
      <c r="AF2" s="83"/>
      <c r="AG2" s="84"/>
      <c r="AH2" s="15"/>
    </row>
    <row r="3" spans="1:35" s="16" customFormat="1" ht="15.75" customHeight="1" x14ac:dyDescent="0.25">
      <c r="A3" s="557" t="s">
        <v>19</v>
      </c>
      <c r="B3" s="649" t="str">
        <f>'Metrado General - Arcaya'!B3</f>
        <v xml:space="preserve"> "MEJORAMIENTO DEL SERVICIO DE EDUCACIÓN BASICA REGULAR DE LA INSTITUCION EDUCATIVA N° 093 EFRAIN ARCAYA ZEVALLOS DEL DISTRITO DE ZARUMILLA- PROVINCIA DE ZARUMILLA-DEPARTAMENTO DE TUMBES"</v>
      </c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50"/>
      <c r="AD3" s="82"/>
      <c r="AE3" s="83"/>
      <c r="AF3" s="83"/>
      <c r="AG3" s="84"/>
      <c r="AH3" s="15"/>
    </row>
    <row r="4" spans="1:35" s="85" customFormat="1" ht="12.6" customHeight="1" x14ac:dyDescent="0.25">
      <c r="A4" s="558"/>
      <c r="B4" s="651"/>
      <c r="C4" s="651"/>
      <c r="D4" s="651"/>
      <c r="E4" s="651"/>
      <c r="F4" s="651"/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651"/>
      <c r="R4" s="651"/>
      <c r="S4" s="651"/>
      <c r="T4" s="651"/>
      <c r="U4" s="651"/>
      <c r="V4" s="651"/>
      <c r="W4" s="651"/>
      <c r="X4" s="651"/>
      <c r="Y4" s="651"/>
      <c r="Z4" s="651"/>
      <c r="AA4" s="651"/>
      <c r="AB4" s="651"/>
      <c r="AC4" s="652"/>
      <c r="AD4" s="82"/>
      <c r="AE4" s="83"/>
      <c r="AF4" s="83"/>
      <c r="AG4" s="84"/>
      <c r="AH4" s="15"/>
      <c r="AI4" s="16"/>
    </row>
    <row r="5" spans="1:35" s="16" customFormat="1" x14ac:dyDescent="0.25">
      <c r="A5" s="559" t="s">
        <v>20</v>
      </c>
      <c r="B5" s="670" t="str">
        <f>+'[1]METRADOS.JAV.'!B5</f>
        <v>GOBIERNO REGIONAL DE TUMBES</v>
      </c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0"/>
      <c r="O5" s="670"/>
      <c r="P5" s="670"/>
      <c r="Q5" s="670"/>
      <c r="R5" s="670"/>
      <c r="S5" s="670"/>
      <c r="T5" s="670"/>
      <c r="U5" s="670"/>
      <c r="V5" s="670"/>
      <c r="W5" s="670"/>
      <c r="X5" s="670"/>
      <c r="Y5" s="670"/>
      <c r="Z5" s="670"/>
      <c r="AA5" s="670"/>
      <c r="AB5" s="670"/>
      <c r="AC5" s="671"/>
      <c r="AD5" s="82"/>
      <c r="AE5" s="83"/>
      <c r="AF5" s="83"/>
      <c r="AG5" s="84"/>
      <c r="AH5" s="15"/>
    </row>
    <row r="6" spans="1:35" s="16" customFormat="1" x14ac:dyDescent="0.25">
      <c r="A6" s="560" t="s">
        <v>26</v>
      </c>
      <c r="B6" s="692" t="s">
        <v>787</v>
      </c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2"/>
      <c r="T6" s="692"/>
      <c r="U6" s="692"/>
      <c r="V6" s="692"/>
      <c r="W6" s="692"/>
      <c r="X6" s="692"/>
      <c r="Y6" s="692"/>
      <c r="Z6" s="692"/>
      <c r="AA6" s="692"/>
      <c r="AB6" s="692"/>
      <c r="AC6" s="693"/>
      <c r="AD6" s="82"/>
      <c r="AE6" s="83"/>
      <c r="AF6" s="83"/>
      <c r="AG6" s="84"/>
      <c r="AH6" s="15"/>
    </row>
    <row r="7" spans="1:35" s="16" customFormat="1" x14ac:dyDescent="0.25">
      <c r="A7" s="560" t="s">
        <v>21</v>
      </c>
      <c r="B7" s="692" t="s">
        <v>407</v>
      </c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692"/>
      <c r="Q7" s="692"/>
      <c r="R7" s="692"/>
      <c r="S7" s="692"/>
      <c r="T7" s="692"/>
      <c r="U7" s="692"/>
      <c r="V7" s="692"/>
      <c r="W7" s="692"/>
      <c r="X7" s="692"/>
      <c r="Y7" s="692"/>
      <c r="Z7" s="692"/>
      <c r="AA7" s="692"/>
      <c r="AB7" s="692"/>
      <c r="AC7" s="693"/>
      <c r="AD7" s="82"/>
      <c r="AE7" s="83"/>
      <c r="AF7" s="83"/>
      <c r="AG7" s="84"/>
      <c r="AH7" s="15"/>
    </row>
    <row r="8" spans="1:35" s="16" customFormat="1" ht="15.75" thickBot="1" x14ac:dyDescent="0.3">
      <c r="A8" s="561" t="s">
        <v>22</v>
      </c>
      <c r="B8" s="694">
        <v>44470</v>
      </c>
      <c r="C8" s="694"/>
      <c r="D8" s="694"/>
      <c r="E8" s="694"/>
      <c r="F8" s="694"/>
      <c r="G8" s="694"/>
      <c r="H8" s="694"/>
      <c r="I8" s="694"/>
      <c r="J8" s="694"/>
      <c r="K8" s="694"/>
      <c r="L8" s="694"/>
      <c r="M8" s="694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5"/>
      <c r="AD8" s="82"/>
      <c r="AE8" s="83"/>
      <c r="AF8" s="83"/>
      <c r="AG8" s="84"/>
      <c r="AH8" s="15"/>
    </row>
    <row r="9" spans="1:35" s="16" customFormat="1" ht="17.100000000000001" customHeight="1" x14ac:dyDescent="0.25">
      <c r="A9" s="662" t="s">
        <v>695</v>
      </c>
      <c r="B9" s="664" t="s">
        <v>23</v>
      </c>
      <c r="C9" s="665"/>
      <c r="D9" s="665"/>
      <c r="E9" s="665"/>
      <c r="F9" s="665"/>
      <c r="G9" s="666"/>
      <c r="H9" s="675" t="s">
        <v>24</v>
      </c>
      <c r="I9" s="641" t="s">
        <v>59</v>
      </c>
      <c r="J9" s="641" t="s">
        <v>16</v>
      </c>
      <c r="K9" s="641" t="s">
        <v>17</v>
      </c>
      <c r="L9" s="641" t="s">
        <v>97</v>
      </c>
      <c r="M9" s="641" t="s">
        <v>58</v>
      </c>
      <c r="N9" s="641" t="s">
        <v>101</v>
      </c>
      <c r="O9" s="641" t="s">
        <v>98</v>
      </c>
      <c r="P9" s="641" t="s">
        <v>99</v>
      </c>
      <c r="Q9" s="641" t="s">
        <v>100</v>
      </c>
      <c r="R9" s="641" t="s">
        <v>102</v>
      </c>
      <c r="S9" s="641" t="s">
        <v>103</v>
      </c>
      <c r="T9" s="641" t="s">
        <v>104</v>
      </c>
      <c r="U9" s="641" t="s">
        <v>105</v>
      </c>
      <c r="V9" s="641" t="s">
        <v>106</v>
      </c>
      <c r="W9" s="641" t="s">
        <v>107</v>
      </c>
      <c r="X9" s="641" t="s">
        <v>108</v>
      </c>
      <c r="Y9" s="641" t="s">
        <v>109</v>
      </c>
      <c r="Z9" s="641" t="s">
        <v>110</v>
      </c>
      <c r="AA9" s="641" t="s">
        <v>111</v>
      </c>
      <c r="AB9" s="641" t="s">
        <v>112</v>
      </c>
      <c r="AC9" s="641" t="s">
        <v>409</v>
      </c>
      <c r="AD9" s="82"/>
      <c r="AE9" s="83"/>
      <c r="AF9" s="83"/>
      <c r="AG9" s="84"/>
      <c r="AH9" s="15"/>
    </row>
    <row r="10" spans="1:35" s="16" customFormat="1" ht="17.100000000000001" customHeight="1" thickBot="1" x14ac:dyDescent="0.3">
      <c r="A10" s="663"/>
      <c r="B10" s="667"/>
      <c r="C10" s="668"/>
      <c r="D10" s="668"/>
      <c r="E10" s="668"/>
      <c r="F10" s="668"/>
      <c r="G10" s="669"/>
      <c r="H10" s="676"/>
      <c r="I10" s="642"/>
      <c r="J10" s="642"/>
      <c r="K10" s="642"/>
      <c r="L10" s="642"/>
      <c r="M10" s="642"/>
      <c r="N10" s="642"/>
      <c r="O10" s="642"/>
      <c r="P10" s="642"/>
      <c r="Q10" s="642"/>
      <c r="R10" s="642"/>
      <c r="S10" s="642"/>
      <c r="T10" s="642"/>
      <c r="U10" s="642"/>
      <c r="V10" s="642"/>
      <c r="W10" s="642"/>
      <c r="X10" s="642"/>
      <c r="Y10" s="642"/>
      <c r="Z10" s="642"/>
      <c r="AA10" s="642"/>
      <c r="AB10" s="642"/>
      <c r="AC10" s="642"/>
      <c r="AD10" s="82"/>
      <c r="AE10" s="83"/>
      <c r="AF10" s="83"/>
      <c r="AG10" s="84"/>
      <c r="AH10" s="15"/>
    </row>
    <row r="11" spans="1:35" s="16" customFormat="1" ht="2.4500000000000002" customHeight="1" thickBot="1" x14ac:dyDescent="0.3">
      <c r="A11" s="566"/>
      <c r="B11" s="515"/>
      <c r="C11" s="516"/>
      <c r="D11" s="516"/>
      <c r="E11" s="516"/>
      <c r="F11" s="516"/>
      <c r="G11" s="516"/>
      <c r="H11" s="567"/>
      <c r="I11" s="568"/>
      <c r="J11" s="568"/>
      <c r="K11" s="568"/>
      <c r="L11" s="568"/>
      <c r="M11" s="568"/>
      <c r="N11" s="568"/>
      <c r="O11" s="568"/>
      <c r="P11" s="568"/>
      <c r="Q11" s="568"/>
      <c r="R11" s="568"/>
      <c r="S11" s="568"/>
      <c r="T11" s="568"/>
      <c r="U11" s="568"/>
      <c r="V11" s="568"/>
      <c r="W11" s="568"/>
      <c r="X11" s="568"/>
      <c r="Y11" s="568"/>
      <c r="Z11" s="568"/>
      <c r="AA11" s="568"/>
      <c r="AB11" s="568"/>
      <c r="AC11" s="569"/>
      <c r="AD11" s="82"/>
      <c r="AE11" s="83"/>
      <c r="AF11" s="83"/>
      <c r="AG11" s="84"/>
      <c r="AH11" s="15"/>
    </row>
    <row r="12" spans="1:35" s="16" customFormat="1" ht="15.75" customHeight="1" thickBot="1" x14ac:dyDescent="0.3">
      <c r="A12" s="556" t="s">
        <v>783</v>
      </c>
      <c r="B12" s="653" t="str">
        <f>'Metrado General - Arcaya'!B4</f>
        <v>OBRAS PROVISIONALES Y PRELIMINARES</v>
      </c>
      <c r="C12" s="654"/>
      <c r="D12" s="654"/>
      <c r="E12" s="654"/>
      <c r="F12" s="654"/>
      <c r="G12" s="654"/>
      <c r="H12" s="654"/>
      <c r="I12" s="654"/>
      <c r="J12" s="654"/>
      <c r="K12" s="654"/>
      <c r="L12" s="654"/>
      <c r="M12" s="654"/>
      <c r="N12" s="654"/>
      <c r="O12" s="654"/>
      <c r="P12" s="654"/>
      <c r="Q12" s="654"/>
      <c r="R12" s="654"/>
      <c r="S12" s="654"/>
      <c r="T12" s="654"/>
      <c r="U12" s="654"/>
      <c r="V12" s="654"/>
      <c r="W12" s="654"/>
      <c r="X12" s="654"/>
      <c r="Y12" s="654"/>
      <c r="Z12" s="654"/>
      <c r="AA12" s="654"/>
      <c r="AB12" s="654"/>
      <c r="AC12" s="655"/>
      <c r="AD12" s="82"/>
      <c r="AE12" s="83"/>
      <c r="AF12" s="83"/>
      <c r="AG12" s="84"/>
      <c r="AH12" s="15"/>
    </row>
    <row r="13" spans="1:35" s="16" customFormat="1" x14ac:dyDescent="0.25">
      <c r="A13" s="103">
        <f>'Metrado General - Arcaya'!A11</f>
        <v>1.01</v>
      </c>
      <c r="B13" s="656" t="str">
        <f>+'Metrado General - Arcaya'!B11</f>
        <v>OBRAS PROVISIONALES</v>
      </c>
      <c r="C13" s="657"/>
      <c r="D13" s="657"/>
      <c r="E13" s="657"/>
      <c r="F13" s="657"/>
      <c r="G13" s="657"/>
      <c r="H13" s="657"/>
      <c r="I13" s="657"/>
      <c r="J13" s="657"/>
      <c r="K13" s="657"/>
      <c r="L13" s="657"/>
      <c r="M13" s="657"/>
      <c r="N13" s="657"/>
      <c r="O13" s="657"/>
      <c r="P13" s="657"/>
      <c r="Q13" s="657"/>
      <c r="R13" s="657"/>
      <c r="S13" s="657"/>
      <c r="T13" s="657"/>
      <c r="U13" s="657"/>
      <c r="V13" s="657"/>
      <c r="W13" s="657"/>
      <c r="X13" s="657"/>
      <c r="Y13" s="657"/>
      <c r="Z13" s="657"/>
      <c r="AA13" s="657"/>
      <c r="AB13" s="657"/>
      <c r="AC13" s="658"/>
      <c r="AD13" s="82"/>
      <c r="AE13" s="83"/>
      <c r="AF13" s="83"/>
      <c r="AG13" s="84"/>
      <c r="AH13" s="15"/>
    </row>
    <row r="14" spans="1:35" s="16" customFormat="1" ht="15.75" customHeight="1" x14ac:dyDescent="0.25">
      <c r="A14" s="64" t="str">
        <f>'Metrado General - Arcaya'!A13</f>
        <v>1.01.01</v>
      </c>
      <c r="B14" s="635" t="str">
        <f>+'Metrado General - Arcaya'!B13</f>
        <v>Suministro y colocación de cartel de obra de 2.40x3.60m</v>
      </c>
      <c r="C14" s="636"/>
      <c r="D14" s="636"/>
      <c r="E14" s="636"/>
      <c r="F14" s="636"/>
      <c r="G14" s="637"/>
      <c r="H14" s="78" t="str">
        <f>+'Metrado General - Arcaya'!I13</f>
        <v>und</v>
      </c>
      <c r="I14" s="118">
        <f>+'Metrado General - Arcaya'!H13</f>
        <v>1</v>
      </c>
      <c r="J14" s="119"/>
      <c r="K14" s="120"/>
      <c r="L14" s="121"/>
      <c r="M14" s="122"/>
      <c r="N14" s="122"/>
      <c r="O14" s="123"/>
      <c r="P14" s="120"/>
      <c r="Q14" s="124"/>
      <c r="R14" s="125"/>
      <c r="S14" s="120"/>
      <c r="T14" s="121"/>
      <c r="U14" s="122"/>
      <c r="V14" s="123"/>
      <c r="W14" s="120"/>
      <c r="X14" s="121"/>
      <c r="Y14" s="123"/>
      <c r="Z14" s="120"/>
      <c r="AA14" s="121"/>
      <c r="AB14" s="121"/>
      <c r="AC14" s="117">
        <f>'Metrado General - Arcaya'!H13</f>
        <v>1</v>
      </c>
      <c r="AD14" s="82"/>
      <c r="AE14" s="83"/>
      <c r="AF14" s="83"/>
      <c r="AG14" s="84"/>
      <c r="AH14" s="15"/>
    </row>
    <row r="15" spans="1:35" s="16" customFormat="1" ht="15.75" customHeight="1" x14ac:dyDescent="0.25">
      <c r="A15" s="64" t="str">
        <f>'Metrado General - Arcaya'!A15</f>
        <v>1.01.02</v>
      </c>
      <c r="B15" s="635" t="str">
        <f>+'Metrado General - Arcaya'!B15</f>
        <v>Caseta de guardiaíia y/o almacén</v>
      </c>
      <c r="C15" s="636"/>
      <c r="D15" s="636"/>
      <c r="E15" s="636"/>
      <c r="F15" s="636"/>
      <c r="G15" s="637"/>
      <c r="H15" s="78" t="str">
        <f>+'Metrado General - Arcaya'!I15</f>
        <v>m2</v>
      </c>
      <c r="I15" s="118">
        <f>+'Metrado General - Arcaya'!H15</f>
        <v>48</v>
      </c>
      <c r="J15" s="119"/>
      <c r="K15" s="120"/>
      <c r="L15" s="121"/>
      <c r="M15" s="122"/>
      <c r="N15" s="122"/>
      <c r="O15" s="123"/>
      <c r="P15" s="120"/>
      <c r="Q15" s="124"/>
      <c r="R15" s="125"/>
      <c r="S15" s="120"/>
      <c r="T15" s="121"/>
      <c r="U15" s="122"/>
      <c r="V15" s="123"/>
      <c r="W15" s="120"/>
      <c r="X15" s="121"/>
      <c r="Y15" s="123"/>
      <c r="Z15" s="120"/>
      <c r="AA15" s="121"/>
      <c r="AB15" s="121"/>
      <c r="AC15" s="117">
        <f>'Metrado General - Arcaya'!H15</f>
        <v>48</v>
      </c>
      <c r="AD15" s="82"/>
      <c r="AE15" s="83"/>
      <c r="AF15" s="83"/>
      <c r="AG15" s="84"/>
      <c r="AH15" s="15"/>
    </row>
    <row r="16" spans="1:35" s="16" customFormat="1" ht="15.75" customHeight="1" x14ac:dyDescent="0.25">
      <c r="A16" s="64" t="str">
        <f>'Metrado General - Arcaya'!A17</f>
        <v>1.01.03</v>
      </c>
      <c r="B16" s="635" t="str">
        <f>'Metrado General - Arcaya'!B17</f>
        <v>Comedor para Personal Obrero</v>
      </c>
      <c r="C16" s="636"/>
      <c r="D16" s="636"/>
      <c r="E16" s="636"/>
      <c r="F16" s="636"/>
      <c r="G16" s="637"/>
      <c r="H16" s="78" t="str">
        <f>'Metrado General - Arcaya'!I17</f>
        <v>m2</v>
      </c>
      <c r="I16" s="118"/>
      <c r="J16" s="119"/>
      <c r="K16" s="120"/>
      <c r="L16" s="121"/>
      <c r="M16" s="122"/>
      <c r="N16" s="122"/>
      <c r="O16" s="123"/>
      <c r="P16" s="120"/>
      <c r="Q16" s="124"/>
      <c r="R16" s="125"/>
      <c r="S16" s="120"/>
      <c r="T16" s="121"/>
      <c r="U16" s="122"/>
      <c r="V16" s="123"/>
      <c r="W16" s="120"/>
      <c r="X16" s="121"/>
      <c r="Y16" s="123"/>
      <c r="Z16" s="120"/>
      <c r="AA16" s="121"/>
      <c r="AB16" s="121"/>
      <c r="AC16" s="117">
        <f>'Metrado General - Arcaya'!H17</f>
        <v>60</v>
      </c>
      <c r="AD16" s="82"/>
      <c r="AE16" s="83"/>
      <c r="AF16" s="83"/>
      <c r="AG16" s="84"/>
      <c r="AH16" s="15"/>
    </row>
    <row r="17" spans="1:34" s="16" customFormat="1" ht="15.75" customHeight="1" x14ac:dyDescent="0.25">
      <c r="A17" s="64" t="str">
        <f>'Metrado General - Arcaya'!A19</f>
        <v>1.01.04</v>
      </c>
      <c r="B17" s="635" t="str">
        <f>'Metrado General - Arcaya'!B19</f>
        <v xml:space="preserve">Vestuario para Personal </v>
      </c>
      <c r="C17" s="636"/>
      <c r="D17" s="636"/>
      <c r="E17" s="636"/>
      <c r="F17" s="636"/>
      <c r="G17" s="637"/>
      <c r="H17" s="78" t="str">
        <f>'Metrado General - Arcaya'!I19</f>
        <v>m2</v>
      </c>
      <c r="I17" s="118"/>
      <c r="J17" s="119"/>
      <c r="K17" s="120"/>
      <c r="L17" s="121"/>
      <c r="M17" s="122"/>
      <c r="N17" s="122"/>
      <c r="O17" s="123"/>
      <c r="P17" s="120"/>
      <c r="Q17" s="124"/>
      <c r="R17" s="125"/>
      <c r="S17" s="120"/>
      <c r="T17" s="121"/>
      <c r="U17" s="122"/>
      <c r="V17" s="123"/>
      <c r="W17" s="120"/>
      <c r="X17" s="121"/>
      <c r="Y17" s="123"/>
      <c r="Z17" s="120"/>
      <c r="AA17" s="121"/>
      <c r="AB17" s="121"/>
      <c r="AC17" s="117">
        <f>'Metrado General - Arcaya'!H19</f>
        <v>12</v>
      </c>
      <c r="AD17" s="82"/>
      <c r="AE17" s="83"/>
      <c r="AF17" s="83"/>
      <c r="AG17" s="84"/>
      <c r="AH17" s="15"/>
    </row>
    <row r="18" spans="1:34" s="16" customFormat="1" ht="15.75" customHeight="1" x14ac:dyDescent="0.25">
      <c r="A18" s="64" t="str">
        <f>'Metrado General - Arcaya'!A21</f>
        <v>1.01.05</v>
      </c>
      <c r="B18" s="635" t="str">
        <f>+'Metrado General - Arcaya'!B21</f>
        <v>Cerco Provisional en Obra de Calamina Galvanizada h=2.20m</v>
      </c>
      <c r="C18" s="636"/>
      <c r="D18" s="636"/>
      <c r="E18" s="636"/>
      <c r="F18" s="636"/>
      <c r="G18" s="637"/>
      <c r="H18" s="78" t="str">
        <f>+'Metrado General - Arcaya'!I21</f>
        <v>ml</v>
      </c>
      <c r="I18" s="118">
        <f>+'Metrado General - Arcaya'!H21</f>
        <v>257.27</v>
      </c>
      <c r="J18" s="119"/>
      <c r="K18" s="120"/>
      <c r="L18" s="121"/>
      <c r="M18" s="122"/>
      <c r="N18" s="122"/>
      <c r="O18" s="123"/>
      <c r="P18" s="120"/>
      <c r="Q18" s="124"/>
      <c r="R18" s="125"/>
      <c r="S18" s="120"/>
      <c r="T18" s="121"/>
      <c r="U18" s="122"/>
      <c r="V18" s="123"/>
      <c r="W18" s="120"/>
      <c r="X18" s="121"/>
      <c r="Y18" s="123"/>
      <c r="Z18" s="120"/>
      <c r="AA18" s="121"/>
      <c r="AB18" s="121"/>
      <c r="AC18" s="117">
        <f>'Metrado General - Arcaya'!H21</f>
        <v>257.27</v>
      </c>
      <c r="AD18" s="82"/>
      <c r="AE18" s="83"/>
      <c r="AF18" s="83"/>
      <c r="AG18" s="84"/>
      <c r="AH18" s="15"/>
    </row>
    <row r="19" spans="1:34" s="16" customFormat="1" x14ac:dyDescent="0.25">
      <c r="A19" s="104">
        <f>'Metrado General - Arcaya'!A24</f>
        <v>1.02</v>
      </c>
      <c r="B19" s="659" t="str">
        <f>+'Metrado General - Arcaya'!B24</f>
        <v>TRABAJOS PRELIMINARES</v>
      </c>
      <c r="C19" s="660"/>
      <c r="D19" s="660"/>
      <c r="E19" s="660"/>
      <c r="F19" s="660"/>
      <c r="G19" s="660"/>
      <c r="H19" s="660"/>
      <c r="I19" s="660"/>
      <c r="J19" s="660"/>
      <c r="K19" s="660"/>
      <c r="L19" s="660"/>
      <c r="M19" s="660"/>
      <c r="N19" s="660"/>
      <c r="O19" s="660"/>
      <c r="P19" s="660"/>
      <c r="Q19" s="660"/>
      <c r="R19" s="660"/>
      <c r="S19" s="660"/>
      <c r="T19" s="660"/>
      <c r="U19" s="660"/>
      <c r="V19" s="660"/>
      <c r="W19" s="660"/>
      <c r="X19" s="660"/>
      <c r="Y19" s="660"/>
      <c r="Z19" s="660"/>
      <c r="AA19" s="660"/>
      <c r="AB19" s="660"/>
      <c r="AC19" s="661"/>
      <c r="AD19" s="82"/>
      <c r="AE19" s="83"/>
      <c r="AF19" s="83"/>
      <c r="AG19" s="84"/>
      <c r="AH19" s="15"/>
    </row>
    <row r="20" spans="1:34" s="16" customFormat="1" ht="15.75" customHeight="1" x14ac:dyDescent="0.25">
      <c r="A20" s="64" t="str">
        <f>'Metrado General - Arcaya'!A25</f>
        <v>1.02.01</v>
      </c>
      <c r="B20" s="635" t="str">
        <f>+'Metrado General - Arcaya'!B25</f>
        <v>Trazo, niveles y replanteo</v>
      </c>
      <c r="C20" s="636"/>
      <c r="D20" s="636"/>
      <c r="E20" s="636"/>
      <c r="F20" s="636"/>
      <c r="G20" s="637"/>
      <c r="H20" s="78" t="str">
        <f>+'Metrado General - Arcaya'!I25</f>
        <v>m2</v>
      </c>
      <c r="I20" s="118">
        <f>SUM(J20:AI20)</f>
        <v>15647.099499999998</v>
      </c>
      <c r="J20" s="119">
        <f>+'Metrado General - Arcaya'!H27</f>
        <v>531.101</v>
      </c>
      <c r="K20" s="120"/>
      <c r="L20" s="121"/>
      <c r="M20" s="122"/>
      <c r="N20" s="122"/>
      <c r="O20" s="123"/>
      <c r="P20" s="120"/>
      <c r="Q20" s="124"/>
      <c r="R20" s="125"/>
      <c r="S20" s="120"/>
      <c r="T20" s="121"/>
      <c r="U20" s="122"/>
      <c r="V20" s="123"/>
      <c r="W20" s="120"/>
      <c r="X20" s="121"/>
      <c r="Y20" s="123"/>
      <c r="Z20" s="120"/>
      <c r="AA20" s="121"/>
      <c r="AB20" s="121"/>
      <c r="AC20" s="117">
        <f>'Metrado General - Arcaya'!H25</f>
        <v>15115.998499999998</v>
      </c>
      <c r="AD20" s="82"/>
      <c r="AE20" s="83"/>
      <c r="AF20" s="83"/>
      <c r="AG20" s="84"/>
      <c r="AH20" s="15"/>
    </row>
    <row r="21" spans="1:34" s="16" customFormat="1" ht="15.75" customHeight="1" x14ac:dyDescent="0.25">
      <c r="A21" s="64" t="str">
        <f>'Metrado General - Arcaya'!A162</f>
        <v>1.02.02</v>
      </c>
      <c r="B21" s="635" t="str">
        <f>+'Metrado General - Arcaya'!B162</f>
        <v>Limpieza inicial de obra</v>
      </c>
      <c r="C21" s="636"/>
      <c r="D21" s="636"/>
      <c r="E21" s="636"/>
      <c r="F21" s="636"/>
      <c r="G21" s="637"/>
      <c r="H21" s="78" t="str">
        <f>+'Metrado General - Arcaya'!I162</f>
        <v>m2</v>
      </c>
      <c r="I21" s="118">
        <f>SUM(J21:AI21)</f>
        <v>15647.099499999998</v>
      </c>
      <c r="J21" s="119">
        <f>+'Metrado General - Arcaya'!H27</f>
        <v>531.101</v>
      </c>
      <c r="K21" s="120"/>
      <c r="L21" s="121"/>
      <c r="M21" s="122"/>
      <c r="N21" s="122"/>
      <c r="O21" s="123"/>
      <c r="P21" s="120"/>
      <c r="Q21" s="124"/>
      <c r="R21" s="125"/>
      <c r="S21" s="120"/>
      <c r="T21" s="121"/>
      <c r="U21" s="122"/>
      <c r="V21" s="123"/>
      <c r="W21" s="120"/>
      <c r="X21" s="121"/>
      <c r="Y21" s="123"/>
      <c r="Z21" s="120"/>
      <c r="AA21" s="121"/>
      <c r="AB21" s="121"/>
      <c r="AC21" s="117">
        <f>'Metrado General - Arcaya'!H162</f>
        <v>15115.998499999998</v>
      </c>
      <c r="AD21" s="82"/>
      <c r="AE21" s="83"/>
      <c r="AF21" s="83"/>
      <c r="AG21" s="84"/>
      <c r="AH21" s="15"/>
    </row>
    <row r="22" spans="1:34" s="16" customFormat="1" ht="15.75" customHeight="1" x14ac:dyDescent="0.25">
      <c r="A22" s="64" t="str">
        <f>'Metrado General - Arcaya'!A167</f>
        <v>1.02.03</v>
      </c>
      <c r="B22" s="635" t="str">
        <f>+'Metrado General - Arcaya'!B167</f>
        <v>Movilización y Desmovilización de Equipo</v>
      </c>
      <c r="C22" s="636"/>
      <c r="D22" s="636"/>
      <c r="E22" s="636"/>
      <c r="F22" s="636"/>
      <c r="G22" s="637"/>
      <c r="H22" s="78" t="str">
        <f>+'Metrado General - Arcaya'!I167</f>
        <v>Glb</v>
      </c>
      <c r="I22" s="118">
        <f>+'Metrado General - Arcaya'!H167</f>
        <v>1</v>
      </c>
      <c r="J22" s="119"/>
      <c r="K22" s="120"/>
      <c r="L22" s="121"/>
      <c r="M22" s="122"/>
      <c r="N22" s="122"/>
      <c r="O22" s="123"/>
      <c r="P22" s="120"/>
      <c r="Q22" s="124"/>
      <c r="R22" s="125"/>
      <c r="S22" s="120"/>
      <c r="T22" s="121"/>
      <c r="U22" s="122"/>
      <c r="V22" s="123"/>
      <c r="W22" s="120"/>
      <c r="X22" s="121"/>
      <c r="Y22" s="123"/>
      <c r="Z22" s="120"/>
      <c r="AA22" s="121"/>
      <c r="AB22" s="121"/>
      <c r="AC22" s="117">
        <f>'Metrado General - Arcaya'!H167</f>
        <v>1</v>
      </c>
      <c r="AD22" s="82"/>
      <c r="AE22" s="83"/>
      <c r="AF22" s="83"/>
      <c r="AG22" s="84"/>
      <c r="AH22" s="15"/>
    </row>
    <row r="23" spans="1:34" s="16" customFormat="1" ht="15.75" customHeight="1" x14ac:dyDescent="0.25">
      <c r="A23" s="64" t="str">
        <f>'Metrado General - Arcaya'!A170</f>
        <v>1.02.04</v>
      </c>
      <c r="B23" s="635" t="str">
        <f>+'Metrado General - Arcaya'!B170</f>
        <v>Tala de arboles inc/ reforestación</v>
      </c>
      <c r="C23" s="636"/>
      <c r="D23" s="636"/>
      <c r="E23" s="636"/>
      <c r="F23" s="636"/>
      <c r="G23" s="637"/>
      <c r="H23" s="78" t="str">
        <f>+'Metrado General - Arcaya'!I170</f>
        <v>und</v>
      </c>
      <c r="I23" s="118">
        <f>+'Metrado General - Arcaya'!H170</f>
        <v>25</v>
      </c>
      <c r="J23" s="119"/>
      <c r="K23" s="120"/>
      <c r="L23" s="121"/>
      <c r="M23" s="122"/>
      <c r="N23" s="122"/>
      <c r="O23" s="123"/>
      <c r="P23" s="120"/>
      <c r="Q23" s="124"/>
      <c r="R23" s="125"/>
      <c r="S23" s="120"/>
      <c r="T23" s="121"/>
      <c r="U23" s="122"/>
      <c r="V23" s="123"/>
      <c r="W23" s="120"/>
      <c r="X23" s="121"/>
      <c r="Y23" s="123"/>
      <c r="Z23" s="120"/>
      <c r="AA23" s="121"/>
      <c r="AB23" s="121"/>
      <c r="AC23" s="117">
        <f>'Metrado General - Arcaya'!H170</f>
        <v>25</v>
      </c>
      <c r="AD23" s="82"/>
      <c r="AE23" s="83"/>
      <c r="AF23" s="83"/>
      <c r="AG23" s="84"/>
      <c r="AH23" s="15"/>
    </row>
    <row r="24" spans="1:34" s="16" customFormat="1" ht="15.75" customHeight="1" x14ac:dyDescent="0.25">
      <c r="A24" s="67" t="str">
        <f>'Metrado General - Arcaya'!A174</f>
        <v>1.02.05</v>
      </c>
      <c r="B24" s="638" t="str">
        <f>+'Metrado General - Arcaya'!B174</f>
        <v>SERVICIOS HIGIENICOS PROVISIONALES</v>
      </c>
      <c r="C24" s="639"/>
      <c r="D24" s="639"/>
      <c r="E24" s="639"/>
      <c r="F24" s="639"/>
      <c r="G24" s="640"/>
      <c r="H24" s="78"/>
      <c r="I24" s="118"/>
      <c r="J24" s="119"/>
      <c r="K24" s="120"/>
      <c r="L24" s="121"/>
      <c r="M24" s="122"/>
      <c r="N24" s="122"/>
      <c r="O24" s="123"/>
      <c r="P24" s="120"/>
      <c r="Q24" s="124"/>
      <c r="R24" s="125"/>
      <c r="S24" s="120"/>
      <c r="T24" s="121"/>
      <c r="U24" s="122"/>
      <c r="V24" s="123"/>
      <c r="W24" s="120"/>
      <c r="X24" s="121"/>
      <c r="Y24" s="123"/>
      <c r="Z24" s="120"/>
      <c r="AA24" s="121"/>
      <c r="AB24" s="121"/>
      <c r="AC24" s="117"/>
      <c r="AD24" s="82"/>
      <c r="AE24" s="83"/>
      <c r="AF24" s="83"/>
      <c r="AG24" s="84"/>
      <c r="AH24" s="15"/>
    </row>
    <row r="25" spans="1:34" s="16" customFormat="1" ht="15.75" customHeight="1" x14ac:dyDescent="0.25">
      <c r="A25" s="64" t="str">
        <f>'Metrado General - Arcaya'!A176</f>
        <v>1.02.05.01</v>
      </c>
      <c r="B25" s="635" t="str">
        <f>'Metrado General - Arcaya'!B176</f>
        <v>Capa de Material de Préstamo - Hormigón e= 0.20m Con Equipo  Liviano</v>
      </c>
      <c r="C25" s="636"/>
      <c r="D25" s="636"/>
      <c r="E25" s="636"/>
      <c r="F25" s="636"/>
      <c r="G25" s="637"/>
      <c r="H25" s="78" t="str">
        <f>'Metrado General - Arcaya'!I176</f>
        <v>m2</v>
      </c>
      <c r="I25" s="118"/>
      <c r="J25" s="119"/>
      <c r="K25" s="120"/>
      <c r="L25" s="121"/>
      <c r="M25" s="122"/>
      <c r="N25" s="122"/>
      <c r="O25" s="123"/>
      <c r="P25" s="120"/>
      <c r="Q25" s="124"/>
      <c r="R25" s="125"/>
      <c r="S25" s="120"/>
      <c r="T25" s="121"/>
      <c r="U25" s="122"/>
      <c r="V25" s="123"/>
      <c r="W25" s="120"/>
      <c r="X25" s="121"/>
      <c r="Y25" s="123"/>
      <c r="Z25" s="120"/>
      <c r="AA25" s="121"/>
      <c r="AB25" s="121"/>
      <c r="AC25" s="117">
        <f>'Metrado General - Arcaya'!H176</f>
        <v>20.015999999999998</v>
      </c>
      <c r="AD25" s="82"/>
      <c r="AE25" s="83"/>
      <c r="AF25" s="83"/>
      <c r="AG25" s="84"/>
      <c r="AH25" s="15"/>
    </row>
    <row r="26" spans="1:34" s="16" customFormat="1" ht="15.75" customHeight="1" x14ac:dyDescent="0.25">
      <c r="A26" s="64" t="str">
        <f>'Metrado General - Arcaya'!A180</f>
        <v>1.02.05.02</v>
      </c>
      <c r="B26" s="635" t="str">
        <f>'Metrado General - Arcaya'!B180</f>
        <v>Losa de Concreto  F'C=140 KG/CM2, e=10cm/Acabado  Frotachado (INC. ENCOFRADO)</v>
      </c>
      <c r="C26" s="636"/>
      <c r="D26" s="636"/>
      <c r="E26" s="636"/>
      <c r="F26" s="636"/>
      <c r="G26" s="637"/>
      <c r="H26" s="78" t="str">
        <f>'Metrado General - Arcaya'!I180</f>
        <v>m2</v>
      </c>
      <c r="I26" s="118"/>
      <c r="J26" s="119"/>
      <c r="K26" s="120"/>
      <c r="L26" s="121"/>
      <c r="M26" s="122"/>
      <c r="N26" s="122"/>
      <c r="O26" s="123"/>
      <c r="P26" s="120"/>
      <c r="Q26" s="124"/>
      <c r="R26" s="125"/>
      <c r="S26" s="120"/>
      <c r="T26" s="121"/>
      <c r="U26" s="122"/>
      <c r="V26" s="123"/>
      <c r="W26" s="120"/>
      <c r="X26" s="121"/>
      <c r="Y26" s="123"/>
      <c r="Z26" s="120"/>
      <c r="AA26" s="121"/>
      <c r="AB26" s="121"/>
      <c r="AC26" s="117">
        <f>'Metrado General - Arcaya'!H180</f>
        <v>23.84</v>
      </c>
      <c r="AD26" s="82"/>
      <c r="AE26" s="83"/>
      <c r="AF26" s="83"/>
      <c r="AG26" s="84"/>
      <c r="AH26" s="15"/>
    </row>
    <row r="27" spans="1:34" s="16" customFormat="1" ht="15.75" customHeight="1" x14ac:dyDescent="0.25">
      <c r="A27" s="64" t="str">
        <f>'Metrado General - Arcaya'!A184</f>
        <v>1.02.05.03</v>
      </c>
      <c r="B27" s="635" t="str">
        <f>'Metrado General - Arcaya'!B184</f>
        <v>Sardinel de Concreto (0.20x0.40)  F'C=140 KG/CM2</v>
      </c>
      <c r="C27" s="636"/>
      <c r="D27" s="636"/>
      <c r="E27" s="636"/>
      <c r="F27" s="636"/>
      <c r="G27" s="637"/>
      <c r="H27" s="78" t="str">
        <f>'Metrado General - Arcaya'!I184</f>
        <v>m</v>
      </c>
      <c r="I27" s="118"/>
      <c r="J27" s="119"/>
      <c r="K27" s="120"/>
      <c r="L27" s="121"/>
      <c r="M27" s="122"/>
      <c r="N27" s="122"/>
      <c r="O27" s="123"/>
      <c r="P27" s="120"/>
      <c r="Q27" s="124"/>
      <c r="R27" s="125"/>
      <c r="S27" s="120"/>
      <c r="T27" s="121"/>
      <c r="U27" s="122"/>
      <c r="V27" s="123"/>
      <c r="W27" s="120"/>
      <c r="X27" s="121"/>
      <c r="Y27" s="123"/>
      <c r="Z27" s="120"/>
      <c r="AA27" s="121"/>
      <c r="AB27" s="121"/>
      <c r="AC27" s="117">
        <f>'Metrado General - Arcaya'!H184</f>
        <v>15.2</v>
      </c>
      <c r="AD27" s="82"/>
      <c r="AE27" s="83"/>
      <c r="AF27" s="83"/>
      <c r="AG27" s="84"/>
      <c r="AH27" s="15"/>
    </row>
    <row r="28" spans="1:34" s="16" customFormat="1" ht="15.75" customHeight="1" x14ac:dyDescent="0.25">
      <c r="A28" s="64" t="str">
        <f>'Metrado General - Arcaya'!A189</f>
        <v>1.02.05.04</v>
      </c>
      <c r="B28" s="635" t="str">
        <f>'Metrado General - Arcaya'!B189</f>
        <v>Suministro e instalación de Columnas de Madera de 4" x 4"</v>
      </c>
      <c r="C28" s="636"/>
      <c r="D28" s="636"/>
      <c r="E28" s="636"/>
      <c r="F28" s="636"/>
      <c r="G28" s="637"/>
      <c r="H28" s="78" t="str">
        <f>'Metrado General - Arcaya'!I189</f>
        <v>m</v>
      </c>
      <c r="I28" s="118"/>
      <c r="J28" s="119"/>
      <c r="K28" s="120"/>
      <c r="L28" s="121"/>
      <c r="M28" s="122"/>
      <c r="N28" s="122"/>
      <c r="O28" s="123"/>
      <c r="P28" s="120"/>
      <c r="Q28" s="124"/>
      <c r="R28" s="125"/>
      <c r="S28" s="120"/>
      <c r="T28" s="121"/>
      <c r="U28" s="122"/>
      <c r="V28" s="123"/>
      <c r="W28" s="120"/>
      <c r="X28" s="121"/>
      <c r="Y28" s="123"/>
      <c r="Z28" s="120"/>
      <c r="AA28" s="121"/>
      <c r="AB28" s="121"/>
      <c r="AC28" s="117">
        <f>'Metrado General - Arcaya'!H189</f>
        <v>166.65</v>
      </c>
      <c r="AD28" s="82"/>
      <c r="AE28" s="83"/>
      <c r="AF28" s="83"/>
      <c r="AG28" s="84"/>
      <c r="AH28" s="15"/>
    </row>
    <row r="29" spans="1:34" s="16" customFormat="1" ht="15.75" customHeight="1" x14ac:dyDescent="0.25">
      <c r="A29" s="64" t="str">
        <f>'Metrado General - Arcaya'!A194</f>
        <v>1.02.05.05</v>
      </c>
      <c r="B29" s="635" t="str">
        <f>'Metrado General - Arcaya'!B194</f>
        <v>Suministro e instalación de paneles de Fibro cemento ST de 6mm</v>
      </c>
      <c r="C29" s="636"/>
      <c r="D29" s="636"/>
      <c r="E29" s="636"/>
      <c r="F29" s="636"/>
      <c r="G29" s="637"/>
      <c r="H29" s="78" t="str">
        <f>'Metrado General - Arcaya'!I194</f>
        <v>m2</v>
      </c>
      <c r="I29" s="118"/>
      <c r="J29" s="119"/>
      <c r="K29" s="120"/>
      <c r="L29" s="121"/>
      <c r="M29" s="122"/>
      <c r="N29" s="122"/>
      <c r="O29" s="123"/>
      <c r="P29" s="120"/>
      <c r="Q29" s="124"/>
      <c r="R29" s="125"/>
      <c r="S29" s="120"/>
      <c r="T29" s="121"/>
      <c r="U29" s="122"/>
      <c r="V29" s="123"/>
      <c r="W29" s="120"/>
      <c r="X29" s="121"/>
      <c r="Y29" s="123"/>
      <c r="Z29" s="120"/>
      <c r="AA29" s="121"/>
      <c r="AB29" s="121"/>
      <c r="AC29" s="117">
        <f>'Metrado General - Arcaya'!H194</f>
        <v>80.467999999999989</v>
      </c>
      <c r="AD29" s="82"/>
      <c r="AE29" s="83"/>
      <c r="AF29" s="83"/>
      <c r="AG29" s="84"/>
      <c r="AH29" s="15"/>
    </row>
    <row r="30" spans="1:34" s="16" customFormat="1" ht="15.75" customHeight="1" x14ac:dyDescent="0.25">
      <c r="A30" s="64" t="str">
        <f>'Metrado General - Arcaya'!A205</f>
        <v>1.02.05.06</v>
      </c>
      <c r="B30" s="635" t="str">
        <f>'Metrado General - Arcaya'!B205</f>
        <v>Suministro e instalación de Vigas de Madera de 2" x 4"</v>
      </c>
      <c r="C30" s="636"/>
      <c r="D30" s="636"/>
      <c r="E30" s="636"/>
      <c r="F30" s="636"/>
      <c r="G30" s="637"/>
      <c r="H30" s="78" t="str">
        <f>'Metrado General - Arcaya'!I205</f>
        <v>m</v>
      </c>
      <c r="I30" s="118"/>
      <c r="J30" s="119"/>
      <c r="K30" s="120"/>
      <c r="L30" s="121"/>
      <c r="M30" s="122"/>
      <c r="N30" s="122"/>
      <c r="O30" s="123"/>
      <c r="P30" s="120"/>
      <c r="Q30" s="124"/>
      <c r="R30" s="125"/>
      <c r="S30" s="120"/>
      <c r="T30" s="121"/>
      <c r="U30" s="122"/>
      <c r="V30" s="123"/>
      <c r="W30" s="120"/>
      <c r="X30" s="121"/>
      <c r="Y30" s="123"/>
      <c r="Z30" s="120"/>
      <c r="AA30" s="121"/>
      <c r="AB30" s="121"/>
      <c r="AC30" s="117">
        <f>'Metrado General - Arcaya'!H205</f>
        <v>29.88</v>
      </c>
      <c r="AD30" s="82"/>
      <c r="AE30" s="83"/>
      <c r="AF30" s="83"/>
      <c r="AG30" s="84"/>
      <c r="AH30" s="15"/>
    </row>
    <row r="31" spans="1:34" s="16" customFormat="1" ht="15.75" customHeight="1" x14ac:dyDescent="0.25">
      <c r="A31" s="64" t="str">
        <f>'Metrado General - Arcaya'!A210</f>
        <v>1.02.05.07</v>
      </c>
      <c r="B31" s="635" t="str">
        <f>'Metrado General - Arcaya'!B210</f>
        <v>Planchas de Polipropilena de e=1.2mm/Color Rojo - Incluye Correas de Madera 2" x 2"</v>
      </c>
      <c r="C31" s="636"/>
      <c r="D31" s="636"/>
      <c r="E31" s="636"/>
      <c r="F31" s="636"/>
      <c r="G31" s="637"/>
      <c r="H31" s="78" t="str">
        <f>'Metrado General - Arcaya'!I210</f>
        <v>m2</v>
      </c>
      <c r="I31" s="118"/>
      <c r="J31" s="119"/>
      <c r="K31" s="120"/>
      <c r="L31" s="121"/>
      <c r="M31" s="122"/>
      <c r="N31" s="122"/>
      <c r="O31" s="123"/>
      <c r="P31" s="120"/>
      <c r="Q31" s="124"/>
      <c r="R31" s="125"/>
      <c r="S31" s="120"/>
      <c r="T31" s="121"/>
      <c r="U31" s="122"/>
      <c r="V31" s="123"/>
      <c r="W31" s="120"/>
      <c r="X31" s="121"/>
      <c r="Y31" s="123"/>
      <c r="Z31" s="120"/>
      <c r="AA31" s="121"/>
      <c r="AB31" s="121"/>
      <c r="AC31" s="117">
        <f>'Metrado General - Arcaya'!H210</f>
        <v>35.2196</v>
      </c>
      <c r="AD31" s="82"/>
      <c r="AE31" s="83"/>
      <c r="AF31" s="83"/>
      <c r="AG31" s="84"/>
      <c r="AH31" s="15"/>
    </row>
    <row r="32" spans="1:34" s="16" customFormat="1" ht="15.75" customHeight="1" x14ac:dyDescent="0.25">
      <c r="A32" s="64" t="str">
        <f>'Metrado General - Arcaya'!A214</f>
        <v>1.02.05.08</v>
      </c>
      <c r="B32" s="635" t="str">
        <f>'Metrado General - Arcaya'!B214</f>
        <v>Suministro e instalación de Puertas de triplay con Marco de Madera (0.90x2.10) incluye Cerrajería</v>
      </c>
      <c r="C32" s="636"/>
      <c r="D32" s="636"/>
      <c r="E32" s="636"/>
      <c r="F32" s="636"/>
      <c r="G32" s="637"/>
      <c r="H32" s="78" t="str">
        <f>'Metrado General - Arcaya'!I214</f>
        <v>und</v>
      </c>
      <c r="I32" s="118"/>
      <c r="J32" s="119"/>
      <c r="K32" s="120"/>
      <c r="L32" s="121"/>
      <c r="M32" s="122"/>
      <c r="N32" s="122"/>
      <c r="O32" s="123"/>
      <c r="P32" s="120"/>
      <c r="Q32" s="124"/>
      <c r="R32" s="125"/>
      <c r="S32" s="120"/>
      <c r="T32" s="121"/>
      <c r="U32" s="122"/>
      <c r="V32" s="123"/>
      <c r="W32" s="120"/>
      <c r="X32" s="121"/>
      <c r="Y32" s="123"/>
      <c r="Z32" s="120"/>
      <c r="AA32" s="121"/>
      <c r="AB32" s="121"/>
      <c r="AC32" s="117">
        <f>'Metrado General - Arcaya'!H214</f>
        <v>2</v>
      </c>
      <c r="AD32" s="82"/>
      <c r="AE32" s="83"/>
      <c r="AF32" s="83"/>
      <c r="AG32" s="84"/>
      <c r="AH32" s="15"/>
    </row>
    <row r="33" spans="1:34" s="16" customFormat="1" ht="15.75" customHeight="1" x14ac:dyDescent="0.25">
      <c r="A33" s="64" t="str">
        <f>'Metrado General - Arcaya'!A218</f>
        <v>1.02.05.09</v>
      </c>
      <c r="B33" s="635" t="str">
        <f>'Metrado General - Arcaya'!B218</f>
        <v>Suministro e instalación de Puertas de triplay con Marco de Madera (0.60x1.60) incluye Cerrajería</v>
      </c>
      <c r="C33" s="636"/>
      <c r="D33" s="636"/>
      <c r="E33" s="636"/>
      <c r="F33" s="636"/>
      <c r="G33" s="637"/>
      <c r="H33" s="78" t="str">
        <f>'Metrado General - Arcaya'!I218</f>
        <v>und</v>
      </c>
      <c r="I33" s="118"/>
      <c r="J33" s="119"/>
      <c r="K33" s="120"/>
      <c r="L33" s="121"/>
      <c r="M33" s="122"/>
      <c r="N33" s="122"/>
      <c r="O33" s="123"/>
      <c r="P33" s="120"/>
      <c r="Q33" s="124"/>
      <c r="R33" s="125"/>
      <c r="S33" s="120"/>
      <c r="T33" s="121"/>
      <c r="U33" s="122"/>
      <c r="V33" s="123"/>
      <c r="W33" s="120"/>
      <c r="X33" s="121"/>
      <c r="Y33" s="123"/>
      <c r="Z33" s="120"/>
      <c r="AA33" s="121"/>
      <c r="AB33" s="121"/>
      <c r="AC33" s="117">
        <f>'Metrado General - Arcaya'!H218</f>
        <v>6</v>
      </c>
      <c r="AD33" s="82"/>
      <c r="AE33" s="83"/>
      <c r="AF33" s="83"/>
      <c r="AG33" s="84"/>
      <c r="AH33" s="15"/>
    </row>
    <row r="34" spans="1:34" s="16" customFormat="1" ht="15.75" customHeight="1" x14ac:dyDescent="0.25">
      <c r="A34" s="64" t="str">
        <f>'Metrado General - Arcaya'!A223</f>
        <v>1.02.05.10</v>
      </c>
      <c r="B34" s="635" t="str">
        <f>'Metrado General - Arcaya'!B223</f>
        <v>Suministro y colocación ventanas (2.00x0.60m) inc. Celocia y marco de Madera</v>
      </c>
      <c r="C34" s="636"/>
      <c r="D34" s="636"/>
      <c r="E34" s="636"/>
      <c r="F34" s="636"/>
      <c r="G34" s="637"/>
      <c r="H34" s="78" t="str">
        <f>'Metrado General - Arcaya'!I223</f>
        <v>und</v>
      </c>
      <c r="I34" s="118"/>
      <c r="J34" s="119"/>
      <c r="K34" s="120"/>
      <c r="L34" s="121"/>
      <c r="M34" s="122"/>
      <c r="N34" s="122"/>
      <c r="O34" s="123"/>
      <c r="P34" s="120"/>
      <c r="Q34" s="124"/>
      <c r="R34" s="125"/>
      <c r="S34" s="120"/>
      <c r="T34" s="121"/>
      <c r="U34" s="122"/>
      <c r="V34" s="123"/>
      <c r="W34" s="120"/>
      <c r="X34" s="121"/>
      <c r="Y34" s="123"/>
      <c r="Z34" s="120"/>
      <c r="AA34" s="121"/>
      <c r="AB34" s="121"/>
      <c r="AC34" s="117">
        <f>'Metrado General - Arcaya'!H223</f>
        <v>2</v>
      </c>
      <c r="AD34" s="82"/>
      <c r="AE34" s="83"/>
      <c r="AF34" s="83"/>
      <c r="AG34" s="84"/>
      <c r="AH34" s="15"/>
    </row>
    <row r="35" spans="1:34" s="16" customFormat="1" ht="15.75" customHeight="1" x14ac:dyDescent="0.25">
      <c r="A35" s="64" t="str">
        <f>'Metrado General - Arcaya'!A227</f>
        <v>1.02.05.11</v>
      </c>
      <c r="B35" s="635" t="str">
        <f>'Metrado General - Arcaya'!B227</f>
        <v xml:space="preserve">Sard. De C° 0.20x0.50. F'C=140Kg/Cm2 </v>
      </c>
      <c r="C35" s="636"/>
      <c r="D35" s="636"/>
      <c r="E35" s="636"/>
      <c r="F35" s="636"/>
      <c r="G35" s="637"/>
      <c r="H35" s="78" t="str">
        <f>'Metrado General - Arcaya'!I227</f>
        <v>m</v>
      </c>
      <c r="I35" s="118"/>
      <c r="J35" s="119"/>
      <c r="K35" s="120"/>
      <c r="L35" s="121"/>
      <c r="M35" s="122"/>
      <c r="N35" s="122"/>
      <c r="O35" s="123"/>
      <c r="P35" s="120"/>
      <c r="Q35" s="124"/>
      <c r="R35" s="125"/>
      <c r="S35" s="120"/>
      <c r="T35" s="121"/>
      <c r="U35" s="122"/>
      <c r="V35" s="123"/>
      <c r="W35" s="120"/>
      <c r="X35" s="121"/>
      <c r="Y35" s="123"/>
      <c r="Z35" s="120"/>
      <c r="AA35" s="121"/>
      <c r="AB35" s="121"/>
      <c r="AC35" s="117">
        <f>'Metrado General - Arcaya'!H227</f>
        <v>7.22</v>
      </c>
      <c r="AD35" s="82"/>
      <c r="AE35" s="83"/>
      <c r="AF35" s="83"/>
      <c r="AG35" s="84"/>
      <c r="AH35" s="15"/>
    </row>
    <row r="36" spans="1:34" s="16" customFormat="1" ht="15.75" customHeight="1" x14ac:dyDescent="0.25">
      <c r="A36" s="64" t="str">
        <f>'Metrado General - Arcaya'!A232</f>
        <v>1.02.05.12</v>
      </c>
      <c r="B36" s="635" t="str">
        <f>'Metrado General - Arcaya'!B232</f>
        <v xml:space="preserve">Tarrajeo de Sard. De C° 0.20x0.50. </v>
      </c>
      <c r="C36" s="636"/>
      <c r="D36" s="636"/>
      <c r="E36" s="636"/>
      <c r="F36" s="636"/>
      <c r="G36" s="637"/>
      <c r="H36" s="78" t="str">
        <f>'Metrado General - Arcaya'!I232</f>
        <v>m2</v>
      </c>
      <c r="I36" s="118"/>
      <c r="J36" s="119"/>
      <c r="K36" s="120"/>
      <c r="L36" s="121"/>
      <c r="M36" s="122"/>
      <c r="N36" s="122"/>
      <c r="O36" s="123"/>
      <c r="P36" s="120"/>
      <c r="Q36" s="124"/>
      <c r="R36" s="125"/>
      <c r="S36" s="120"/>
      <c r="T36" s="121"/>
      <c r="U36" s="122"/>
      <c r="V36" s="123"/>
      <c r="W36" s="120"/>
      <c r="X36" s="121"/>
      <c r="Y36" s="123"/>
      <c r="Z36" s="120"/>
      <c r="AA36" s="121"/>
      <c r="AB36" s="121"/>
      <c r="AC36" s="117">
        <f>'Metrado General - Arcaya'!H232</f>
        <v>5.8360000000000003</v>
      </c>
      <c r="AD36" s="82"/>
      <c r="AE36" s="83"/>
      <c r="AF36" s="83"/>
      <c r="AG36" s="84"/>
      <c r="AH36" s="15"/>
    </row>
    <row r="37" spans="1:34" s="16" customFormat="1" ht="15.75" customHeight="1" x14ac:dyDescent="0.25">
      <c r="A37" s="64" t="str">
        <f>'Metrado General - Arcaya'!A242</f>
        <v>1.02.05.13</v>
      </c>
      <c r="B37" s="635" t="str">
        <f>'Metrado General - Arcaya'!B242</f>
        <v>Pintura con Esmalte Sintético</v>
      </c>
      <c r="C37" s="636"/>
      <c r="D37" s="636"/>
      <c r="E37" s="636"/>
      <c r="F37" s="636"/>
      <c r="G37" s="637"/>
      <c r="H37" s="78" t="str">
        <f>'Metrado General - Arcaya'!I242</f>
        <v>m2</v>
      </c>
      <c r="I37" s="118"/>
      <c r="J37" s="119"/>
      <c r="K37" s="120"/>
      <c r="L37" s="121"/>
      <c r="M37" s="122"/>
      <c r="N37" s="122"/>
      <c r="O37" s="123"/>
      <c r="P37" s="120"/>
      <c r="Q37" s="124"/>
      <c r="R37" s="125"/>
      <c r="S37" s="120"/>
      <c r="T37" s="121"/>
      <c r="U37" s="122"/>
      <c r="V37" s="123"/>
      <c r="W37" s="120"/>
      <c r="X37" s="121"/>
      <c r="Y37" s="123"/>
      <c r="Z37" s="120"/>
      <c r="AA37" s="121"/>
      <c r="AB37" s="121"/>
      <c r="AC37" s="117">
        <f>'Metrado General - Arcaya'!H242</f>
        <v>86.304000000000002</v>
      </c>
      <c r="AD37" s="82"/>
      <c r="AE37" s="83"/>
      <c r="AF37" s="83"/>
      <c r="AG37" s="84"/>
      <c r="AH37" s="15"/>
    </row>
    <row r="38" spans="1:34" s="16" customFormat="1" ht="15.75" customHeight="1" x14ac:dyDescent="0.25">
      <c r="A38" s="64" t="str">
        <f>'Metrado General - Arcaya'!A247</f>
        <v>1.02.05.14</v>
      </c>
      <c r="B38" s="635" t="str">
        <f>'Metrado General - Arcaya'!B247</f>
        <v>Lavadero de una Poza Acabado Pulido Inc/ instalaciones</v>
      </c>
      <c r="C38" s="636"/>
      <c r="D38" s="636"/>
      <c r="E38" s="636"/>
      <c r="F38" s="636"/>
      <c r="G38" s="637"/>
      <c r="H38" s="78" t="str">
        <f>'Metrado General - Arcaya'!I247</f>
        <v>und</v>
      </c>
      <c r="I38" s="118"/>
      <c r="J38" s="119"/>
      <c r="K38" s="120"/>
      <c r="L38" s="121"/>
      <c r="M38" s="122"/>
      <c r="N38" s="122"/>
      <c r="O38" s="123"/>
      <c r="P38" s="120"/>
      <c r="Q38" s="124"/>
      <c r="R38" s="125"/>
      <c r="S38" s="120"/>
      <c r="T38" s="121"/>
      <c r="U38" s="122"/>
      <c r="V38" s="123"/>
      <c r="W38" s="120"/>
      <c r="X38" s="121"/>
      <c r="Y38" s="123"/>
      <c r="Z38" s="120"/>
      <c r="AA38" s="121"/>
      <c r="AB38" s="121"/>
      <c r="AC38" s="117">
        <f>'Metrado General - Arcaya'!H247</f>
        <v>1</v>
      </c>
      <c r="AD38" s="82"/>
      <c r="AE38" s="83"/>
      <c r="AF38" s="83"/>
      <c r="AG38" s="84"/>
      <c r="AH38" s="15"/>
    </row>
    <row r="39" spans="1:34" s="16" customFormat="1" ht="15.75" customHeight="1" x14ac:dyDescent="0.25">
      <c r="A39" s="64" t="str">
        <f>'Metrado General - Arcaya'!A251</f>
        <v>1.02.05.15</v>
      </c>
      <c r="B39" s="635" t="str">
        <f>'Metrado General - Arcaya'!B251</f>
        <v>Colocación de torre metálica para tanque de agua según diseño</v>
      </c>
      <c r="C39" s="636"/>
      <c r="D39" s="636"/>
      <c r="E39" s="636"/>
      <c r="F39" s="636"/>
      <c r="G39" s="637"/>
      <c r="H39" s="78" t="str">
        <f>'Metrado General - Arcaya'!I251</f>
        <v>und</v>
      </c>
      <c r="I39" s="118"/>
      <c r="J39" s="119"/>
      <c r="K39" s="120"/>
      <c r="L39" s="121"/>
      <c r="M39" s="122"/>
      <c r="N39" s="122"/>
      <c r="O39" s="123"/>
      <c r="P39" s="120"/>
      <c r="Q39" s="124"/>
      <c r="R39" s="125"/>
      <c r="S39" s="120"/>
      <c r="T39" s="121"/>
      <c r="U39" s="122"/>
      <c r="V39" s="123"/>
      <c r="W39" s="120"/>
      <c r="X39" s="121"/>
      <c r="Y39" s="123"/>
      <c r="Z39" s="120"/>
      <c r="AA39" s="121"/>
      <c r="AB39" s="121"/>
      <c r="AC39" s="117">
        <f>'Metrado General - Arcaya'!H251</f>
        <v>1</v>
      </c>
      <c r="AD39" s="82"/>
      <c r="AE39" s="83"/>
      <c r="AF39" s="83"/>
      <c r="AG39" s="84"/>
      <c r="AH39" s="15"/>
    </row>
    <row r="40" spans="1:34" s="16" customFormat="1" ht="15.75" customHeight="1" x14ac:dyDescent="0.25">
      <c r="A40" s="67" t="str">
        <f>'Metrado General - Arcaya'!A255</f>
        <v>1.02.05.16</v>
      </c>
      <c r="B40" s="638" t="str">
        <f>'Metrado General - Arcaya'!B255</f>
        <v xml:space="preserve">APARATOS SANITARIOS Y ACCESORIOS </v>
      </c>
      <c r="C40" s="639"/>
      <c r="D40" s="639"/>
      <c r="E40" s="639"/>
      <c r="F40" s="639"/>
      <c r="G40" s="640"/>
      <c r="H40" s="78"/>
      <c r="I40" s="118"/>
      <c r="J40" s="119"/>
      <c r="K40" s="120"/>
      <c r="L40" s="121"/>
      <c r="M40" s="122"/>
      <c r="N40" s="122"/>
      <c r="O40" s="123"/>
      <c r="P40" s="120"/>
      <c r="Q40" s="124"/>
      <c r="R40" s="125"/>
      <c r="S40" s="120"/>
      <c r="T40" s="121"/>
      <c r="U40" s="122"/>
      <c r="V40" s="123"/>
      <c r="W40" s="120"/>
      <c r="X40" s="121"/>
      <c r="Y40" s="123"/>
      <c r="Z40" s="120"/>
      <c r="AA40" s="121"/>
      <c r="AB40" s="121"/>
      <c r="AC40" s="117"/>
      <c r="AD40" s="82"/>
      <c r="AE40" s="83"/>
      <c r="AF40" s="83"/>
      <c r="AG40" s="84"/>
      <c r="AH40" s="15"/>
    </row>
    <row r="41" spans="1:34" s="16" customFormat="1" ht="15.75" customHeight="1" x14ac:dyDescent="0.25">
      <c r="A41" s="64" t="str">
        <f>'Metrado General - Arcaya'!A256</f>
        <v>1.02.05.16.01</v>
      </c>
      <c r="B41" s="635" t="str">
        <f>'Metrado General - Arcaya'!B256</f>
        <v>Suministro de aparato sanitario (INODORO)</v>
      </c>
      <c r="C41" s="636"/>
      <c r="D41" s="636"/>
      <c r="E41" s="636"/>
      <c r="F41" s="636"/>
      <c r="G41" s="637"/>
      <c r="H41" s="78" t="str">
        <f>'Metrado General - Arcaya'!I256</f>
        <v>und</v>
      </c>
      <c r="I41" s="118"/>
      <c r="J41" s="119"/>
      <c r="K41" s="120"/>
      <c r="L41" s="121"/>
      <c r="M41" s="122"/>
      <c r="N41" s="122"/>
      <c r="O41" s="123"/>
      <c r="P41" s="120"/>
      <c r="Q41" s="124"/>
      <c r="R41" s="125"/>
      <c r="S41" s="120"/>
      <c r="T41" s="121"/>
      <c r="U41" s="122"/>
      <c r="V41" s="123"/>
      <c r="W41" s="120"/>
      <c r="X41" s="121"/>
      <c r="Y41" s="123"/>
      <c r="Z41" s="120"/>
      <c r="AA41" s="121"/>
      <c r="AB41" s="121"/>
      <c r="AC41" s="117">
        <f>'Metrado General - Arcaya'!H256</f>
        <v>3</v>
      </c>
      <c r="AD41" s="82"/>
      <c r="AE41" s="83"/>
      <c r="AF41" s="83"/>
      <c r="AG41" s="84"/>
      <c r="AH41" s="15"/>
    </row>
    <row r="42" spans="1:34" s="16" customFormat="1" ht="15.75" customHeight="1" x14ac:dyDescent="0.25">
      <c r="A42" s="64" t="str">
        <f>'Metrado General - Arcaya'!A260</f>
        <v>1.02.05.16.02</v>
      </c>
      <c r="B42" s="635" t="str">
        <f>'Metrado General - Arcaya'!B260</f>
        <v>Suministro de aparato sanitario (DUCHAS)</v>
      </c>
      <c r="C42" s="636"/>
      <c r="D42" s="636"/>
      <c r="E42" s="636"/>
      <c r="F42" s="636"/>
      <c r="G42" s="637"/>
      <c r="H42" s="78" t="str">
        <f>'Metrado General - Arcaya'!I260</f>
        <v>und</v>
      </c>
      <c r="I42" s="118"/>
      <c r="J42" s="119"/>
      <c r="K42" s="120"/>
      <c r="L42" s="121"/>
      <c r="M42" s="122"/>
      <c r="N42" s="122"/>
      <c r="O42" s="123"/>
      <c r="P42" s="120"/>
      <c r="Q42" s="124"/>
      <c r="R42" s="125"/>
      <c r="S42" s="120"/>
      <c r="T42" s="121"/>
      <c r="U42" s="122"/>
      <c r="V42" s="123"/>
      <c r="W42" s="120"/>
      <c r="X42" s="121"/>
      <c r="Y42" s="123"/>
      <c r="Z42" s="120"/>
      <c r="AA42" s="121"/>
      <c r="AB42" s="121"/>
      <c r="AC42" s="117">
        <f>'Metrado General - Arcaya'!H260</f>
        <v>3</v>
      </c>
      <c r="AD42" s="82"/>
      <c r="AE42" s="83"/>
      <c r="AF42" s="83"/>
      <c r="AG42" s="84"/>
      <c r="AH42" s="15"/>
    </row>
    <row r="43" spans="1:34" s="16" customFormat="1" ht="15.75" customHeight="1" x14ac:dyDescent="0.25">
      <c r="A43" s="64" t="str">
        <f>'Metrado General - Arcaya'!A264</f>
        <v>1.02.05.16.03</v>
      </c>
      <c r="B43" s="635" t="str">
        <f>'Metrado General - Arcaya'!B264</f>
        <v>Suministro de accesorios P/Inodoro</v>
      </c>
      <c r="C43" s="636"/>
      <c r="D43" s="636"/>
      <c r="E43" s="636"/>
      <c r="F43" s="636"/>
      <c r="G43" s="637"/>
      <c r="H43" s="78" t="str">
        <f>'Metrado General - Arcaya'!I264</f>
        <v>und</v>
      </c>
      <c r="I43" s="118"/>
      <c r="J43" s="119"/>
      <c r="K43" s="120"/>
      <c r="L43" s="121"/>
      <c r="M43" s="122"/>
      <c r="N43" s="122"/>
      <c r="O43" s="123"/>
      <c r="P43" s="120"/>
      <c r="Q43" s="124"/>
      <c r="R43" s="125"/>
      <c r="S43" s="120"/>
      <c r="T43" s="121"/>
      <c r="U43" s="122"/>
      <c r="V43" s="123"/>
      <c r="W43" s="120"/>
      <c r="X43" s="121"/>
      <c r="Y43" s="123"/>
      <c r="Z43" s="120"/>
      <c r="AA43" s="121"/>
      <c r="AB43" s="121"/>
      <c r="AC43" s="117">
        <f>'Metrado General - Arcaya'!H264</f>
        <v>3</v>
      </c>
      <c r="AD43" s="82"/>
      <c r="AE43" s="83"/>
      <c r="AF43" s="83"/>
      <c r="AG43" s="84"/>
      <c r="AH43" s="15"/>
    </row>
    <row r="44" spans="1:34" s="16" customFormat="1" ht="15.75" customHeight="1" x14ac:dyDescent="0.25">
      <c r="A44" s="64" t="str">
        <f>'Metrado General - Arcaya'!A268</f>
        <v>1.02.05.16.04</v>
      </c>
      <c r="B44" s="635" t="str">
        <f>'Metrado General - Arcaya'!B268</f>
        <v>Suministro de accesorios P/Duchas</v>
      </c>
      <c r="C44" s="636"/>
      <c r="D44" s="636"/>
      <c r="E44" s="636"/>
      <c r="F44" s="636"/>
      <c r="G44" s="637"/>
      <c r="H44" s="78" t="str">
        <f>'Metrado General - Arcaya'!I268</f>
        <v>und</v>
      </c>
      <c r="I44" s="118"/>
      <c r="J44" s="119"/>
      <c r="K44" s="120"/>
      <c r="L44" s="121"/>
      <c r="M44" s="122"/>
      <c r="N44" s="122"/>
      <c r="O44" s="123"/>
      <c r="P44" s="120"/>
      <c r="Q44" s="124"/>
      <c r="R44" s="125"/>
      <c r="S44" s="120"/>
      <c r="T44" s="121"/>
      <c r="U44" s="122"/>
      <c r="V44" s="123"/>
      <c r="W44" s="120"/>
      <c r="X44" s="121"/>
      <c r="Y44" s="123"/>
      <c r="Z44" s="120"/>
      <c r="AA44" s="121"/>
      <c r="AB44" s="121"/>
      <c r="AC44" s="117">
        <f>'Metrado General - Arcaya'!H268</f>
        <v>3</v>
      </c>
      <c r="AD44" s="82"/>
      <c r="AE44" s="83"/>
      <c r="AF44" s="83"/>
      <c r="AG44" s="84"/>
      <c r="AH44" s="15"/>
    </row>
    <row r="45" spans="1:34" s="16" customFormat="1" ht="15.75" customHeight="1" x14ac:dyDescent="0.25">
      <c r="A45" s="64" t="str">
        <f>'Metrado General - Arcaya'!A272</f>
        <v>1.02.05.16.05</v>
      </c>
      <c r="B45" s="635" t="str">
        <f>'Metrado General - Arcaya'!B272</f>
        <v>Instalación de aparatos sanitarios y accesorios</v>
      </c>
      <c r="C45" s="636"/>
      <c r="D45" s="636"/>
      <c r="E45" s="636"/>
      <c r="F45" s="636"/>
      <c r="G45" s="637"/>
      <c r="H45" s="78" t="str">
        <f>'Metrado General - Arcaya'!I272</f>
        <v>und</v>
      </c>
      <c r="I45" s="118"/>
      <c r="J45" s="119"/>
      <c r="K45" s="120"/>
      <c r="L45" s="121"/>
      <c r="M45" s="122"/>
      <c r="N45" s="122"/>
      <c r="O45" s="123"/>
      <c r="P45" s="120"/>
      <c r="Q45" s="124"/>
      <c r="R45" s="125"/>
      <c r="S45" s="120"/>
      <c r="T45" s="121"/>
      <c r="U45" s="122"/>
      <c r="V45" s="123"/>
      <c r="W45" s="120"/>
      <c r="X45" s="121"/>
      <c r="Y45" s="123"/>
      <c r="Z45" s="120"/>
      <c r="AA45" s="121"/>
      <c r="AB45" s="121"/>
      <c r="AC45" s="117">
        <f>'Metrado General - Arcaya'!H272</f>
        <v>10</v>
      </c>
      <c r="AD45" s="82"/>
      <c r="AE45" s="83"/>
      <c r="AF45" s="83"/>
      <c r="AG45" s="84"/>
      <c r="AH45" s="15"/>
    </row>
    <row r="46" spans="1:34" s="16" customFormat="1" ht="15.75" customHeight="1" x14ac:dyDescent="0.25">
      <c r="A46" s="67" t="str">
        <f>'Metrado General - Arcaya'!A279</f>
        <v>1.02.05.17</v>
      </c>
      <c r="B46" s="638" t="str">
        <f>'Metrado General - Arcaya'!B279</f>
        <v>SISTEMA DE AGUA FRÍA</v>
      </c>
      <c r="C46" s="639"/>
      <c r="D46" s="639"/>
      <c r="E46" s="639"/>
      <c r="F46" s="639"/>
      <c r="G46" s="640"/>
      <c r="H46" s="78"/>
      <c r="I46" s="118"/>
      <c r="J46" s="119"/>
      <c r="K46" s="120"/>
      <c r="L46" s="121"/>
      <c r="M46" s="122"/>
      <c r="N46" s="122"/>
      <c r="O46" s="123"/>
      <c r="P46" s="120"/>
      <c r="Q46" s="124"/>
      <c r="R46" s="125"/>
      <c r="S46" s="120"/>
      <c r="T46" s="121"/>
      <c r="U46" s="122"/>
      <c r="V46" s="123"/>
      <c r="W46" s="120"/>
      <c r="X46" s="121"/>
      <c r="Y46" s="123"/>
      <c r="Z46" s="120"/>
      <c r="AA46" s="121"/>
      <c r="AB46" s="121"/>
      <c r="AC46" s="117"/>
      <c r="AD46" s="82"/>
      <c r="AE46" s="83"/>
      <c r="AF46" s="83"/>
      <c r="AG46" s="84"/>
      <c r="AH46" s="15"/>
    </row>
    <row r="47" spans="1:34" s="16" customFormat="1" ht="15.75" customHeight="1" x14ac:dyDescent="0.25">
      <c r="A47" s="64" t="str">
        <f>'Metrado General - Arcaya'!A280</f>
        <v>1.02.05.17.01</v>
      </c>
      <c r="B47" s="635" t="str">
        <f>'Metrado General - Arcaya'!B280</f>
        <v>Salida de agua fría Ø 1/2'' Bronce</v>
      </c>
      <c r="C47" s="636"/>
      <c r="D47" s="636"/>
      <c r="E47" s="636"/>
      <c r="F47" s="636"/>
      <c r="G47" s="637"/>
      <c r="H47" s="78" t="str">
        <f>'Metrado General - Arcaya'!I280</f>
        <v>pto</v>
      </c>
      <c r="I47" s="118"/>
      <c r="J47" s="119"/>
      <c r="K47" s="120"/>
      <c r="L47" s="121"/>
      <c r="M47" s="122"/>
      <c r="N47" s="122"/>
      <c r="O47" s="123"/>
      <c r="P47" s="120"/>
      <c r="Q47" s="124"/>
      <c r="R47" s="125"/>
      <c r="S47" s="120"/>
      <c r="T47" s="121"/>
      <c r="U47" s="122"/>
      <c r="V47" s="123"/>
      <c r="W47" s="120"/>
      <c r="X47" s="121"/>
      <c r="Y47" s="123"/>
      <c r="Z47" s="120"/>
      <c r="AA47" s="121"/>
      <c r="AB47" s="121"/>
      <c r="AC47" s="117">
        <f>'Metrado General - Arcaya'!H280</f>
        <v>10</v>
      </c>
      <c r="AD47" s="82"/>
      <c r="AE47" s="83"/>
      <c r="AF47" s="83"/>
      <c r="AG47" s="84"/>
      <c r="AH47" s="15"/>
    </row>
    <row r="48" spans="1:34" s="16" customFormat="1" ht="15.75" customHeight="1" x14ac:dyDescent="0.25">
      <c r="A48" s="67" t="str">
        <f>'Metrado General - Arcaya'!A287</f>
        <v>1.02.05.18</v>
      </c>
      <c r="B48" s="638" t="str">
        <f>'Metrado General - Arcaya'!B287</f>
        <v>REDES DE DISTRIBUCIÓN</v>
      </c>
      <c r="C48" s="639"/>
      <c r="D48" s="639"/>
      <c r="E48" s="639"/>
      <c r="F48" s="639"/>
      <c r="G48" s="640"/>
      <c r="H48" s="78"/>
      <c r="I48" s="118"/>
      <c r="J48" s="119"/>
      <c r="K48" s="120"/>
      <c r="L48" s="121"/>
      <c r="M48" s="122"/>
      <c r="N48" s="122"/>
      <c r="O48" s="123"/>
      <c r="P48" s="120"/>
      <c r="Q48" s="124"/>
      <c r="R48" s="125"/>
      <c r="S48" s="120"/>
      <c r="T48" s="121"/>
      <c r="U48" s="122"/>
      <c r="V48" s="123"/>
      <c r="W48" s="120"/>
      <c r="X48" s="121"/>
      <c r="Y48" s="123"/>
      <c r="Z48" s="120"/>
      <c r="AA48" s="121"/>
      <c r="AB48" s="121"/>
      <c r="AC48" s="117"/>
      <c r="AD48" s="82"/>
      <c r="AE48" s="83"/>
      <c r="AF48" s="83"/>
      <c r="AG48" s="84"/>
      <c r="AH48" s="15"/>
    </row>
    <row r="49" spans="1:34" s="16" customFormat="1" ht="15.75" customHeight="1" x14ac:dyDescent="0.25">
      <c r="A49" s="64" t="str">
        <f>'Metrado General - Arcaya'!A288</f>
        <v>1.02.05.18.01</v>
      </c>
      <c r="B49" s="635" t="str">
        <f>'Metrado General - Arcaya'!B288</f>
        <v>Tubería PVC CLASE 10 SP P/Agua Fría D=3/4''</v>
      </c>
      <c r="C49" s="636"/>
      <c r="D49" s="636"/>
      <c r="E49" s="636"/>
      <c r="F49" s="636"/>
      <c r="G49" s="637"/>
      <c r="H49" s="78" t="str">
        <f>'Metrado General - Arcaya'!I288</f>
        <v>m</v>
      </c>
      <c r="I49" s="118"/>
      <c r="J49" s="119"/>
      <c r="K49" s="120"/>
      <c r="L49" s="121"/>
      <c r="M49" s="122"/>
      <c r="N49" s="122"/>
      <c r="O49" s="123"/>
      <c r="P49" s="120"/>
      <c r="Q49" s="124"/>
      <c r="R49" s="125"/>
      <c r="S49" s="120"/>
      <c r="T49" s="121"/>
      <c r="U49" s="122"/>
      <c r="V49" s="123"/>
      <c r="W49" s="120"/>
      <c r="X49" s="121"/>
      <c r="Y49" s="123"/>
      <c r="Z49" s="120"/>
      <c r="AA49" s="121"/>
      <c r="AB49" s="121"/>
      <c r="AC49" s="117">
        <f>'Metrado General - Arcaya'!H288</f>
        <v>46.1</v>
      </c>
      <c r="AD49" s="82"/>
      <c r="AE49" s="83"/>
      <c r="AF49" s="83"/>
      <c r="AG49" s="84"/>
      <c r="AH49" s="15"/>
    </row>
    <row r="50" spans="1:34" s="16" customFormat="1" ht="15.75" customHeight="1" x14ac:dyDescent="0.25">
      <c r="A50" s="67" t="str">
        <f>'Metrado General - Arcaya'!A292</f>
        <v>1.02.05.19</v>
      </c>
      <c r="B50" s="638" t="str">
        <f>'Metrado General - Arcaya'!B292</f>
        <v>REDES DE ALIMENTACIÓN</v>
      </c>
      <c r="C50" s="639"/>
      <c r="D50" s="639"/>
      <c r="E50" s="639"/>
      <c r="F50" s="639"/>
      <c r="G50" s="640"/>
      <c r="H50" s="78"/>
      <c r="I50" s="118"/>
      <c r="J50" s="119"/>
      <c r="K50" s="120"/>
      <c r="L50" s="121"/>
      <c r="M50" s="122"/>
      <c r="N50" s="122"/>
      <c r="O50" s="123"/>
      <c r="P50" s="120"/>
      <c r="Q50" s="124"/>
      <c r="R50" s="125"/>
      <c r="S50" s="120"/>
      <c r="T50" s="121"/>
      <c r="U50" s="122"/>
      <c r="V50" s="123"/>
      <c r="W50" s="120"/>
      <c r="X50" s="121"/>
      <c r="Y50" s="123"/>
      <c r="Z50" s="120"/>
      <c r="AA50" s="121"/>
      <c r="AB50" s="121"/>
      <c r="AC50" s="117"/>
      <c r="AD50" s="82"/>
      <c r="AE50" s="83"/>
      <c r="AF50" s="83"/>
      <c r="AG50" s="84"/>
      <c r="AH50" s="15"/>
    </row>
    <row r="51" spans="1:34" s="16" customFormat="1" ht="15.75" customHeight="1" x14ac:dyDescent="0.25">
      <c r="A51" s="64" t="str">
        <f>'Metrado General - Arcaya'!A293</f>
        <v>1.02.05.19.01</v>
      </c>
      <c r="B51" s="635" t="str">
        <f>'Metrado General - Arcaya'!B293</f>
        <v>Tubería PVC CLASE 10 SP P/Agua Fría D=3/4''</v>
      </c>
      <c r="C51" s="636"/>
      <c r="D51" s="636"/>
      <c r="E51" s="636"/>
      <c r="F51" s="636"/>
      <c r="G51" s="637"/>
      <c r="H51" s="78" t="str">
        <f>'Metrado General - Arcaya'!I293</f>
        <v>m</v>
      </c>
      <c r="I51" s="118"/>
      <c r="J51" s="119"/>
      <c r="K51" s="120"/>
      <c r="L51" s="121"/>
      <c r="M51" s="122"/>
      <c r="N51" s="122"/>
      <c r="O51" s="123"/>
      <c r="P51" s="120"/>
      <c r="Q51" s="124"/>
      <c r="R51" s="125"/>
      <c r="S51" s="120"/>
      <c r="T51" s="121"/>
      <c r="U51" s="122"/>
      <c r="V51" s="123"/>
      <c r="W51" s="120"/>
      <c r="X51" s="121"/>
      <c r="Y51" s="123"/>
      <c r="Z51" s="120"/>
      <c r="AA51" s="121"/>
      <c r="AB51" s="121"/>
      <c r="AC51" s="117">
        <f>'Metrado General - Arcaya'!H293</f>
        <v>4.0999999999999996</v>
      </c>
      <c r="AD51" s="82"/>
      <c r="AE51" s="83"/>
      <c r="AF51" s="83"/>
      <c r="AG51" s="84"/>
      <c r="AH51" s="15"/>
    </row>
    <row r="52" spans="1:34" s="16" customFormat="1" ht="15.75" customHeight="1" x14ac:dyDescent="0.25">
      <c r="A52" s="67" t="str">
        <f>'Metrado General - Arcaya'!A297</f>
        <v>1.02.05.20</v>
      </c>
      <c r="B52" s="638" t="str">
        <f>'Metrado General - Arcaya'!B297</f>
        <v>ACCESORIOS DE REDES DE AGUA</v>
      </c>
      <c r="C52" s="639"/>
      <c r="D52" s="639"/>
      <c r="E52" s="639"/>
      <c r="F52" s="639"/>
      <c r="G52" s="640"/>
      <c r="H52" s="78"/>
      <c r="I52" s="118"/>
      <c r="J52" s="119"/>
      <c r="K52" s="120"/>
      <c r="L52" s="121"/>
      <c r="M52" s="122"/>
      <c r="N52" s="122"/>
      <c r="O52" s="123"/>
      <c r="P52" s="120"/>
      <c r="Q52" s="124"/>
      <c r="R52" s="125"/>
      <c r="S52" s="120"/>
      <c r="T52" s="121"/>
      <c r="U52" s="122"/>
      <c r="V52" s="123"/>
      <c r="W52" s="120"/>
      <c r="X52" s="121"/>
      <c r="Y52" s="123"/>
      <c r="Z52" s="120"/>
      <c r="AA52" s="121"/>
      <c r="AB52" s="121"/>
      <c r="AC52" s="117"/>
      <c r="AD52" s="82"/>
      <c r="AE52" s="83"/>
      <c r="AF52" s="83"/>
      <c r="AG52" s="84"/>
      <c r="AH52" s="15"/>
    </row>
    <row r="53" spans="1:34" s="16" customFormat="1" ht="15.75" customHeight="1" x14ac:dyDescent="0.25">
      <c r="A53" s="64" t="str">
        <f>'Metrado General - Arcaya'!A298</f>
        <v>1.02.05.20.01</v>
      </c>
      <c r="B53" s="635" t="str">
        <f>'Metrado General - Arcaya'!B298</f>
        <v>Suministro e instalación de codo de 90° PVC AGUA C-10  3/4''</v>
      </c>
      <c r="C53" s="636"/>
      <c r="D53" s="636"/>
      <c r="E53" s="636"/>
      <c r="F53" s="636"/>
      <c r="G53" s="637"/>
      <c r="H53" s="78" t="str">
        <f>'Metrado General - Arcaya'!I298</f>
        <v>und</v>
      </c>
      <c r="I53" s="118"/>
      <c r="J53" s="119"/>
      <c r="K53" s="120"/>
      <c r="L53" s="121"/>
      <c r="M53" s="122"/>
      <c r="N53" s="122"/>
      <c r="O53" s="123"/>
      <c r="P53" s="120"/>
      <c r="Q53" s="124"/>
      <c r="R53" s="125"/>
      <c r="S53" s="120"/>
      <c r="T53" s="121"/>
      <c r="U53" s="122"/>
      <c r="V53" s="123"/>
      <c r="W53" s="120"/>
      <c r="X53" s="121"/>
      <c r="Y53" s="123"/>
      <c r="Z53" s="120"/>
      <c r="AA53" s="121"/>
      <c r="AB53" s="121"/>
      <c r="AC53" s="117">
        <f>'Metrado General - Arcaya'!H298</f>
        <v>17</v>
      </c>
      <c r="AD53" s="82"/>
      <c r="AE53" s="83"/>
      <c r="AF53" s="83"/>
      <c r="AG53" s="84"/>
      <c r="AH53" s="15"/>
    </row>
    <row r="54" spans="1:34" s="16" customFormat="1" ht="15.75" customHeight="1" x14ac:dyDescent="0.25">
      <c r="A54" s="64" t="str">
        <f>'Metrado General - Arcaya'!A302</f>
        <v>1.02.05.20.02</v>
      </c>
      <c r="B54" s="635" t="str">
        <f>'Metrado General - Arcaya'!B302</f>
        <v>Suministro e instalación de TEE PVC AGUA C-10 1''</v>
      </c>
      <c r="C54" s="636"/>
      <c r="D54" s="636"/>
      <c r="E54" s="636"/>
      <c r="F54" s="636"/>
      <c r="G54" s="637"/>
      <c r="H54" s="78" t="str">
        <f>'Metrado General - Arcaya'!I302</f>
        <v>und</v>
      </c>
      <c r="I54" s="118"/>
      <c r="J54" s="119"/>
      <c r="K54" s="120"/>
      <c r="L54" s="121"/>
      <c r="M54" s="122"/>
      <c r="N54" s="122"/>
      <c r="O54" s="123"/>
      <c r="P54" s="120"/>
      <c r="Q54" s="124"/>
      <c r="R54" s="125"/>
      <c r="S54" s="120"/>
      <c r="T54" s="121"/>
      <c r="U54" s="122"/>
      <c r="V54" s="123"/>
      <c r="W54" s="120"/>
      <c r="X54" s="121"/>
      <c r="Y54" s="123"/>
      <c r="Z54" s="120"/>
      <c r="AA54" s="121"/>
      <c r="AB54" s="121"/>
      <c r="AC54" s="117">
        <f>'Metrado General - Arcaya'!H302</f>
        <v>1</v>
      </c>
      <c r="AD54" s="82"/>
      <c r="AE54" s="83"/>
      <c r="AF54" s="83"/>
      <c r="AG54" s="84"/>
      <c r="AH54" s="15"/>
    </row>
    <row r="55" spans="1:34" s="16" customFormat="1" ht="15.75" customHeight="1" x14ac:dyDescent="0.25">
      <c r="A55" s="64" t="str">
        <f>'Metrado General - Arcaya'!A306</f>
        <v>1.02.05.20.03</v>
      </c>
      <c r="B55" s="635" t="str">
        <f>'Metrado General - Arcaya'!B306</f>
        <v>Suministro e instalación de TEE PVC AGUA C-10 3/4''</v>
      </c>
      <c r="C55" s="636"/>
      <c r="D55" s="636"/>
      <c r="E55" s="636"/>
      <c r="F55" s="636"/>
      <c r="G55" s="637"/>
      <c r="H55" s="78" t="str">
        <f>'Metrado General - Arcaya'!I306</f>
        <v>und</v>
      </c>
      <c r="I55" s="118"/>
      <c r="J55" s="119"/>
      <c r="K55" s="120"/>
      <c r="L55" s="121"/>
      <c r="M55" s="122"/>
      <c r="N55" s="122"/>
      <c r="O55" s="123"/>
      <c r="P55" s="120"/>
      <c r="Q55" s="124"/>
      <c r="R55" s="125"/>
      <c r="S55" s="120"/>
      <c r="T55" s="121"/>
      <c r="U55" s="122"/>
      <c r="V55" s="123"/>
      <c r="W55" s="120"/>
      <c r="X55" s="121"/>
      <c r="Y55" s="123"/>
      <c r="Z55" s="120"/>
      <c r="AA55" s="121"/>
      <c r="AB55" s="121"/>
      <c r="AC55" s="117">
        <f>'Metrado General - Arcaya'!H306</f>
        <v>9</v>
      </c>
      <c r="AD55" s="82"/>
      <c r="AE55" s="83"/>
      <c r="AF55" s="83"/>
      <c r="AG55" s="84"/>
      <c r="AH55" s="15"/>
    </row>
    <row r="56" spans="1:34" s="16" customFormat="1" ht="15.75" customHeight="1" x14ac:dyDescent="0.25">
      <c r="A56" s="64" t="str">
        <f>'Metrado General - Arcaya'!A310</f>
        <v>1.02.05.20.04</v>
      </c>
      <c r="B56" s="635" t="str">
        <f>'Metrado General - Arcaya'!B310</f>
        <v>Suministro e instalación de CODO DE BRONCE 1/2''</v>
      </c>
      <c r="C56" s="636"/>
      <c r="D56" s="636"/>
      <c r="E56" s="636"/>
      <c r="F56" s="636"/>
      <c r="G56" s="637"/>
      <c r="H56" s="78" t="str">
        <f>'Metrado General - Arcaya'!I310</f>
        <v>und</v>
      </c>
      <c r="I56" s="118"/>
      <c r="J56" s="119"/>
      <c r="K56" s="120"/>
      <c r="L56" s="121"/>
      <c r="M56" s="122"/>
      <c r="N56" s="122"/>
      <c r="O56" s="123"/>
      <c r="P56" s="120"/>
      <c r="Q56" s="124"/>
      <c r="R56" s="125"/>
      <c r="S56" s="120"/>
      <c r="T56" s="121"/>
      <c r="U56" s="122"/>
      <c r="V56" s="123"/>
      <c r="W56" s="120"/>
      <c r="X56" s="121"/>
      <c r="Y56" s="123"/>
      <c r="Z56" s="120"/>
      <c r="AA56" s="121"/>
      <c r="AB56" s="121"/>
      <c r="AC56" s="117">
        <f>'Metrado General - Arcaya'!H310</f>
        <v>10</v>
      </c>
      <c r="AD56" s="82"/>
      <c r="AE56" s="83"/>
      <c r="AF56" s="83"/>
      <c r="AG56" s="84"/>
      <c r="AH56" s="15"/>
    </row>
    <row r="57" spans="1:34" s="16" customFormat="1" ht="15.75" customHeight="1" x14ac:dyDescent="0.25">
      <c r="A57" s="64" t="str">
        <f>'Metrado General - Arcaya'!A314</f>
        <v>1.02.05.20.05</v>
      </c>
      <c r="B57" s="635" t="str">
        <f>'Metrado General - Arcaya'!B314</f>
        <v>Suministro e instalación de ADAPTADOR PVC AGUA C-10 3/4''</v>
      </c>
      <c r="C57" s="636"/>
      <c r="D57" s="636"/>
      <c r="E57" s="636"/>
      <c r="F57" s="636"/>
      <c r="G57" s="637"/>
      <c r="H57" s="78" t="str">
        <f>'Metrado General - Arcaya'!I314</f>
        <v>und</v>
      </c>
      <c r="I57" s="118"/>
      <c r="J57" s="119"/>
      <c r="K57" s="120"/>
      <c r="L57" s="121"/>
      <c r="M57" s="122"/>
      <c r="N57" s="122"/>
      <c r="O57" s="123"/>
      <c r="P57" s="120"/>
      <c r="Q57" s="124"/>
      <c r="R57" s="125"/>
      <c r="S57" s="120"/>
      <c r="T57" s="121"/>
      <c r="U57" s="122"/>
      <c r="V57" s="123"/>
      <c r="W57" s="120"/>
      <c r="X57" s="121"/>
      <c r="Y57" s="123"/>
      <c r="Z57" s="120"/>
      <c r="AA57" s="121"/>
      <c r="AB57" s="121"/>
      <c r="AC57" s="117">
        <f>'Metrado General - Arcaya'!H314</f>
        <v>10</v>
      </c>
      <c r="AD57" s="82"/>
      <c r="AE57" s="83"/>
      <c r="AF57" s="83"/>
      <c r="AG57" s="84"/>
      <c r="AH57" s="15"/>
    </row>
    <row r="58" spans="1:34" s="16" customFormat="1" ht="15.75" customHeight="1" x14ac:dyDescent="0.25">
      <c r="A58" s="64" t="str">
        <f>'Metrado General - Arcaya'!A318</f>
        <v>1.02.05.20.06</v>
      </c>
      <c r="B58" s="635" t="str">
        <f>'Metrado General - Arcaya'!B318</f>
        <v>Suministro e instalación de NIPLE PVC AGUA C-10 3/4''</v>
      </c>
      <c r="C58" s="636"/>
      <c r="D58" s="636"/>
      <c r="E58" s="636"/>
      <c r="F58" s="636"/>
      <c r="G58" s="637"/>
      <c r="H58" s="78" t="str">
        <f>'Metrado General - Arcaya'!I318</f>
        <v>und</v>
      </c>
      <c r="I58" s="118"/>
      <c r="J58" s="119"/>
      <c r="K58" s="120"/>
      <c r="L58" s="121"/>
      <c r="M58" s="122"/>
      <c r="N58" s="122"/>
      <c r="O58" s="123"/>
      <c r="P58" s="120"/>
      <c r="Q58" s="124"/>
      <c r="R58" s="125"/>
      <c r="S58" s="120"/>
      <c r="T58" s="121"/>
      <c r="U58" s="122"/>
      <c r="V58" s="123"/>
      <c r="W58" s="120"/>
      <c r="X58" s="121"/>
      <c r="Y58" s="123"/>
      <c r="Z58" s="120"/>
      <c r="AA58" s="121"/>
      <c r="AB58" s="121"/>
      <c r="AC58" s="117">
        <f>'Metrado General - Arcaya'!H318</f>
        <v>4</v>
      </c>
      <c r="AD58" s="82"/>
      <c r="AE58" s="83"/>
      <c r="AF58" s="83"/>
      <c r="AG58" s="84"/>
      <c r="AH58" s="15"/>
    </row>
    <row r="59" spans="1:34" s="16" customFormat="1" ht="15.75" customHeight="1" x14ac:dyDescent="0.25">
      <c r="A59" s="64" t="str">
        <f>'Metrado General - Arcaya'!A322</f>
        <v>1.02.05.20.07</v>
      </c>
      <c r="B59" s="635" t="str">
        <f>'Metrado General - Arcaya'!B322</f>
        <v>Suministro e instalación de REDUCCIÓN PVC AGUA C-10 1" A 3/4''</v>
      </c>
      <c r="C59" s="636"/>
      <c r="D59" s="636"/>
      <c r="E59" s="636"/>
      <c r="F59" s="636"/>
      <c r="G59" s="637"/>
      <c r="H59" s="78" t="str">
        <f>'Metrado General - Arcaya'!I322</f>
        <v>und</v>
      </c>
      <c r="I59" s="118"/>
      <c r="J59" s="119"/>
      <c r="K59" s="120"/>
      <c r="L59" s="121"/>
      <c r="M59" s="122"/>
      <c r="N59" s="122"/>
      <c r="O59" s="123"/>
      <c r="P59" s="120"/>
      <c r="Q59" s="124"/>
      <c r="R59" s="125"/>
      <c r="S59" s="120"/>
      <c r="T59" s="121"/>
      <c r="U59" s="122"/>
      <c r="V59" s="123"/>
      <c r="W59" s="120"/>
      <c r="X59" s="121"/>
      <c r="Y59" s="123"/>
      <c r="Z59" s="120"/>
      <c r="AA59" s="121"/>
      <c r="AB59" s="121"/>
      <c r="AC59" s="117">
        <f>'Metrado General - Arcaya'!H322</f>
        <v>1</v>
      </c>
      <c r="AD59" s="82"/>
      <c r="AE59" s="83"/>
      <c r="AF59" s="83"/>
      <c r="AG59" s="84"/>
      <c r="AH59" s="15"/>
    </row>
    <row r="60" spans="1:34" s="16" customFormat="1" ht="15.75" customHeight="1" x14ac:dyDescent="0.25">
      <c r="A60" s="64" t="str">
        <f>'Metrado General - Arcaya'!A326</f>
        <v>1.02.05.20.08</v>
      </c>
      <c r="B60" s="635" t="str">
        <f>'Metrado General - Arcaya'!B326</f>
        <v>Suministro e instalación de REDUCCIÓN PVC AGUA C-10 3/4" A 1/2''</v>
      </c>
      <c r="C60" s="636"/>
      <c r="D60" s="636"/>
      <c r="E60" s="636"/>
      <c r="F60" s="636"/>
      <c r="G60" s="637"/>
      <c r="H60" s="78" t="str">
        <f>'Metrado General - Arcaya'!I326</f>
        <v>und</v>
      </c>
      <c r="I60" s="118"/>
      <c r="J60" s="119"/>
      <c r="K60" s="120"/>
      <c r="L60" s="121"/>
      <c r="M60" s="122"/>
      <c r="N60" s="122"/>
      <c r="O60" s="123"/>
      <c r="P60" s="120"/>
      <c r="Q60" s="124"/>
      <c r="R60" s="125"/>
      <c r="S60" s="120"/>
      <c r="T60" s="121"/>
      <c r="U60" s="122"/>
      <c r="V60" s="123"/>
      <c r="W60" s="120"/>
      <c r="X60" s="121"/>
      <c r="Y60" s="123"/>
      <c r="Z60" s="120"/>
      <c r="AA60" s="121"/>
      <c r="AB60" s="121"/>
      <c r="AC60" s="117">
        <f>'Metrado General - Arcaya'!H326</f>
        <v>10</v>
      </c>
      <c r="AD60" s="82"/>
      <c r="AE60" s="83"/>
      <c r="AF60" s="83"/>
      <c r="AG60" s="84"/>
      <c r="AH60" s="15"/>
    </row>
    <row r="61" spans="1:34" s="16" customFormat="1" ht="15.75" customHeight="1" x14ac:dyDescent="0.25">
      <c r="A61" s="64" t="str">
        <f>'Metrado General - Arcaya'!A330</f>
        <v>1.02.05.20.09</v>
      </c>
      <c r="B61" s="635" t="str">
        <f>'Metrado General - Arcaya'!B330</f>
        <v>Suministro e instalación de TUBO DE ABASTO PARA INODORO</v>
      </c>
      <c r="C61" s="636"/>
      <c r="D61" s="636"/>
      <c r="E61" s="636"/>
      <c r="F61" s="636"/>
      <c r="G61" s="637"/>
      <c r="H61" s="78" t="str">
        <f>'Metrado General - Arcaya'!I330</f>
        <v>und</v>
      </c>
      <c r="I61" s="118"/>
      <c r="J61" s="119"/>
      <c r="K61" s="120"/>
      <c r="L61" s="121"/>
      <c r="M61" s="122"/>
      <c r="N61" s="122"/>
      <c r="O61" s="123"/>
      <c r="P61" s="120"/>
      <c r="Q61" s="124"/>
      <c r="R61" s="125"/>
      <c r="S61" s="120"/>
      <c r="T61" s="121"/>
      <c r="U61" s="122"/>
      <c r="V61" s="123"/>
      <c r="W61" s="120"/>
      <c r="X61" s="121"/>
      <c r="Y61" s="123"/>
      <c r="Z61" s="120"/>
      <c r="AA61" s="121"/>
      <c r="AB61" s="121"/>
      <c r="AC61" s="117">
        <f>'Metrado General - Arcaya'!H330</f>
        <v>3</v>
      </c>
      <c r="AD61" s="82"/>
      <c r="AE61" s="83"/>
      <c r="AF61" s="83"/>
      <c r="AG61" s="84"/>
      <c r="AH61" s="15"/>
    </row>
    <row r="62" spans="1:34" s="16" customFormat="1" ht="15.75" customHeight="1" x14ac:dyDescent="0.25">
      <c r="A62" s="64" t="str">
        <f>'Metrado General - Arcaya'!A334</f>
        <v>1.02.05.20.10</v>
      </c>
      <c r="B62" s="635" t="str">
        <f>'Metrado General - Arcaya'!B334</f>
        <v xml:space="preserve">Suministro e instalación de TRAMPA PLASTICA C/REGISTRO </v>
      </c>
      <c r="C62" s="636"/>
      <c r="D62" s="636"/>
      <c r="E62" s="636"/>
      <c r="F62" s="636"/>
      <c r="G62" s="637"/>
      <c r="H62" s="78" t="str">
        <f>'Metrado General - Arcaya'!I334</f>
        <v>und</v>
      </c>
      <c r="I62" s="118"/>
      <c r="J62" s="119"/>
      <c r="K62" s="120"/>
      <c r="L62" s="121"/>
      <c r="M62" s="122"/>
      <c r="N62" s="122"/>
      <c r="O62" s="123"/>
      <c r="P62" s="120"/>
      <c r="Q62" s="124"/>
      <c r="R62" s="125"/>
      <c r="S62" s="120"/>
      <c r="T62" s="121"/>
      <c r="U62" s="122"/>
      <c r="V62" s="123"/>
      <c r="W62" s="120"/>
      <c r="X62" s="121"/>
      <c r="Y62" s="123"/>
      <c r="Z62" s="120"/>
      <c r="AA62" s="121"/>
      <c r="AB62" s="121"/>
      <c r="AC62" s="117">
        <f>'Metrado General - Arcaya'!H334</f>
        <v>1</v>
      </c>
      <c r="AD62" s="82"/>
      <c r="AE62" s="83"/>
      <c r="AF62" s="83"/>
      <c r="AG62" s="84"/>
      <c r="AH62" s="15"/>
    </row>
    <row r="63" spans="1:34" s="16" customFormat="1" ht="15.75" customHeight="1" x14ac:dyDescent="0.25">
      <c r="A63" s="64" t="str">
        <f>'Metrado General - Arcaya'!A338</f>
        <v>1.02.05.20.11</v>
      </c>
      <c r="B63" s="635" t="str">
        <f>'Metrado General - Arcaya'!B338</f>
        <v>Suministro e instalación de UNION UNIVERSAL PVC 3/4"</v>
      </c>
      <c r="C63" s="636"/>
      <c r="D63" s="636"/>
      <c r="E63" s="636"/>
      <c r="F63" s="636"/>
      <c r="G63" s="637"/>
      <c r="H63" s="78" t="str">
        <f>'Metrado General - Arcaya'!I338</f>
        <v>und</v>
      </c>
      <c r="I63" s="118"/>
      <c r="J63" s="119"/>
      <c r="K63" s="120"/>
      <c r="L63" s="121"/>
      <c r="M63" s="122"/>
      <c r="N63" s="122"/>
      <c r="O63" s="123"/>
      <c r="P63" s="120"/>
      <c r="Q63" s="124"/>
      <c r="R63" s="125"/>
      <c r="S63" s="120"/>
      <c r="T63" s="121"/>
      <c r="U63" s="122"/>
      <c r="V63" s="123"/>
      <c r="W63" s="120"/>
      <c r="X63" s="121"/>
      <c r="Y63" s="123"/>
      <c r="Z63" s="120"/>
      <c r="AA63" s="121"/>
      <c r="AB63" s="121"/>
      <c r="AC63" s="117">
        <f>'Metrado General - Arcaya'!H338</f>
        <v>2</v>
      </c>
      <c r="AD63" s="82"/>
      <c r="AE63" s="83"/>
      <c r="AF63" s="83"/>
      <c r="AG63" s="84"/>
      <c r="AH63" s="15"/>
    </row>
    <row r="64" spans="1:34" s="16" customFormat="1" ht="15.75" customHeight="1" x14ac:dyDescent="0.25">
      <c r="A64" s="67" t="str">
        <f>'Metrado General - Arcaya'!A342</f>
        <v>1.02.05.21</v>
      </c>
      <c r="B64" s="638" t="str">
        <f>'Metrado General - Arcaya'!B342</f>
        <v>VÁLVULAS</v>
      </c>
      <c r="C64" s="639"/>
      <c r="D64" s="639"/>
      <c r="E64" s="639"/>
      <c r="F64" s="639"/>
      <c r="G64" s="640"/>
      <c r="H64" s="78"/>
      <c r="I64" s="118"/>
      <c r="J64" s="119"/>
      <c r="K64" s="120"/>
      <c r="L64" s="121"/>
      <c r="M64" s="122"/>
      <c r="N64" s="122"/>
      <c r="O64" s="123"/>
      <c r="P64" s="120"/>
      <c r="Q64" s="124"/>
      <c r="R64" s="125"/>
      <c r="S64" s="120"/>
      <c r="T64" s="121"/>
      <c r="U64" s="122"/>
      <c r="V64" s="123"/>
      <c r="W64" s="120"/>
      <c r="X64" s="121"/>
      <c r="Y64" s="123"/>
      <c r="Z64" s="120"/>
      <c r="AA64" s="121"/>
      <c r="AB64" s="121"/>
      <c r="AC64" s="117"/>
      <c r="AD64" s="82"/>
      <c r="AE64" s="83"/>
      <c r="AF64" s="83"/>
      <c r="AG64" s="84"/>
      <c r="AH64" s="15"/>
    </row>
    <row r="65" spans="1:34" s="16" customFormat="1" ht="15.75" customHeight="1" x14ac:dyDescent="0.25">
      <c r="A65" s="64" t="str">
        <f>'Metrado General - Arcaya'!A343</f>
        <v>1.02.05.21.01</v>
      </c>
      <c r="B65" s="635" t="str">
        <f>'Metrado General - Arcaya'!B343</f>
        <v>Válvula compuerta Pesada de Bronce de 3/4''</v>
      </c>
      <c r="C65" s="636"/>
      <c r="D65" s="636"/>
      <c r="E65" s="636"/>
      <c r="F65" s="636"/>
      <c r="G65" s="637"/>
      <c r="H65" s="78" t="str">
        <f>'Metrado General - Arcaya'!I343</f>
        <v>und</v>
      </c>
      <c r="I65" s="118"/>
      <c r="J65" s="119"/>
      <c r="K65" s="120"/>
      <c r="L65" s="121"/>
      <c r="M65" s="122"/>
      <c r="N65" s="122"/>
      <c r="O65" s="123"/>
      <c r="P65" s="120"/>
      <c r="Q65" s="124"/>
      <c r="R65" s="125"/>
      <c r="S65" s="120"/>
      <c r="T65" s="121"/>
      <c r="U65" s="122"/>
      <c r="V65" s="123"/>
      <c r="W65" s="120"/>
      <c r="X65" s="121"/>
      <c r="Y65" s="123"/>
      <c r="Z65" s="120"/>
      <c r="AA65" s="121"/>
      <c r="AB65" s="121"/>
      <c r="AC65" s="117">
        <f>'Metrado General - Arcaya'!H343</f>
        <v>1</v>
      </c>
      <c r="AD65" s="82"/>
      <c r="AE65" s="83"/>
      <c r="AF65" s="83"/>
      <c r="AG65" s="84"/>
      <c r="AH65" s="15"/>
    </row>
    <row r="66" spans="1:34" s="16" customFormat="1" ht="15.75" customHeight="1" x14ac:dyDescent="0.25">
      <c r="A66" s="67" t="str">
        <f>'Metrado General - Arcaya'!A347</f>
        <v>1.02.05.22</v>
      </c>
      <c r="B66" s="638" t="str">
        <f>'Metrado General - Arcaya'!B347</f>
        <v xml:space="preserve">ALMACENAMIENTO DE AGUA </v>
      </c>
      <c r="C66" s="639"/>
      <c r="D66" s="639"/>
      <c r="E66" s="639"/>
      <c r="F66" s="639"/>
      <c r="G66" s="640"/>
      <c r="H66" s="78"/>
      <c r="I66" s="118"/>
      <c r="J66" s="119"/>
      <c r="K66" s="120"/>
      <c r="L66" s="121"/>
      <c r="M66" s="122"/>
      <c r="N66" s="122"/>
      <c r="O66" s="123"/>
      <c r="P66" s="120"/>
      <c r="Q66" s="124"/>
      <c r="R66" s="125"/>
      <c r="S66" s="120"/>
      <c r="T66" s="121"/>
      <c r="U66" s="122"/>
      <c r="V66" s="123"/>
      <c r="W66" s="120"/>
      <c r="X66" s="121"/>
      <c r="Y66" s="123"/>
      <c r="Z66" s="120"/>
      <c r="AA66" s="121"/>
      <c r="AB66" s="121"/>
      <c r="AC66" s="117"/>
      <c r="AD66" s="82"/>
      <c r="AE66" s="83"/>
      <c r="AF66" s="83"/>
      <c r="AG66" s="84"/>
      <c r="AH66" s="15"/>
    </row>
    <row r="67" spans="1:34" s="16" customFormat="1" ht="15.75" customHeight="1" x14ac:dyDescent="0.25">
      <c r="A67" s="64" t="str">
        <f>'Metrado General - Arcaya'!A348</f>
        <v>1.02.05.22.01</v>
      </c>
      <c r="B67" s="635" t="str">
        <f>'Metrado General - Arcaya'!B348</f>
        <v>Suministro e instalación de Tanque de POLIETILENO CAP. 1100 LT</v>
      </c>
      <c r="C67" s="636"/>
      <c r="D67" s="636"/>
      <c r="E67" s="636"/>
      <c r="F67" s="636"/>
      <c r="G67" s="637"/>
      <c r="H67" s="78" t="str">
        <f>'Metrado General - Arcaya'!I348</f>
        <v>und</v>
      </c>
      <c r="I67" s="118"/>
      <c r="J67" s="119"/>
      <c r="K67" s="120"/>
      <c r="L67" s="121"/>
      <c r="M67" s="122"/>
      <c r="N67" s="122"/>
      <c r="O67" s="123"/>
      <c r="P67" s="120"/>
      <c r="Q67" s="124"/>
      <c r="R67" s="125"/>
      <c r="S67" s="120"/>
      <c r="T67" s="121"/>
      <c r="U67" s="122"/>
      <c r="V67" s="123"/>
      <c r="W67" s="120"/>
      <c r="X67" s="121"/>
      <c r="Y67" s="123"/>
      <c r="Z67" s="120"/>
      <c r="AA67" s="121"/>
      <c r="AB67" s="121"/>
      <c r="AC67" s="117">
        <f>'Metrado General - Arcaya'!H348</f>
        <v>1</v>
      </c>
      <c r="AD67" s="82"/>
      <c r="AE67" s="83"/>
      <c r="AF67" s="83"/>
      <c r="AG67" s="84"/>
      <c r="AH67" s="15"/>
    </row>
    <row r="68" spans="1:34" s="16" customFormat="1" ht="15.75" customHeight="1" x14ac:dyDescent="0.25">
      <c r="A68" s="64" t="str">
        <f>'Metrado General - Arcaya'!A352</f>
        <v>1.02.05.22.02</v>
      </c>
      <c r="B68" s="635" t="str">
        <f>'Metrado General - Arcaya'!B352</f>
        <v>Suministro e instalación de Cisterna de POLIETILENO CAP. 1200 LT</v>
      </c>
      <c r="C68" s="636"/>
      <c r="D68" s="636"/>
      <c r="E68" s="636"/>
      <c r="F68" s="636"/>
      <c r="G68" s="637"/>
      <c r="H68" s="78" t="str">
        <f>'Metrado General - Arcaya'!I352</f>
        <v>und</v>
      </c>
      <c r="I68" s="118"/>
      <c r="J68" s="119"/>
      <c r="K68" s="120"/>
      <c r="L68" s="121"/>
      <c r="M68" s="122"/>
      <c r="N68" s="122"/>
      <c r="O68" s="123"/>
      <c r="P68" s="120"/>
      <c r="Q68" s="124"/>
      <c r="R68" s="125"/>
      <c r="S68" s="120"/>
      <c r="T68" s="121"/>
      <c r="U68" s="122"/>
      <c r="V68" s="123"/>
      <c r="W68" s="120"/>
      <c r="X68" s="121"/>
      <c r="Y68" s="123"/>
      <c r="Z68" s="120"/>
      <c r="AA68" s="121"/>
      <c r="AB68" s="121"/>
      <c r="AC68" s="117">
        <f>'Metrado General - Arcaya'!H352</f>
        <v>1</v>
      </c>
      <c r="AD68" s="82"/>
      <c r="AE68" s="83"/>
      <c r="AF68" s="83"/>
      <c r="AG68" s="84"/>
      <c r="AH68" s="15"/>
    </row>
    <row r="69" spans="1:34" s="16" customFormat="1" ht="15.75" customHeight="1" x14ac:dyDescent="0.25">
      <c r="A69" s="67" t="str">
        <f>'Metrado General - Arcaya'!A356</f>
        <v>1.02.05.23</v>
      </c>
      <c r="B69" s="638" t="str">
        <f>'Metrado General - Arcaya'!B356</f>
        <v>DESAGÜE Y VENTILACIÓN</v>
      </c>
      <c r="C69" s="639"/>
      <c r="D69" s="639"/>
      <c r="E69" s="639"/>
      <c r="F69" s="639"/>
      <c r="G69" s="640"/>
      <c r="H69" s="78"/>
      <c r="I69" s="118"/>
      <c r="J69" s="119"/>
      <c r="K69" s="120"/>
      <c r="L69" s="121"/>
      <c r="M69" s="122"/>
      <c r="N69" s="122"/>
      <c r="O69" s="123"/>
      <c r="P69" s="120"/>
      <c r="Q69" s="124"/>
      <c r="R69" s="125"/>
      <c r="S69" s="120"/>
      <c r="T69" s="121"/>
      <c r="U69" s="122"/>
      <c r="V69" s="123"/>
      <c r="W69" s="120"/>
      <c r="X69" s="121"/>
      <c r="Y69" s="123"/>
      <c r="Z69" s="120"/>
      <c r="AA69" s="121"/>
      <c r="AB69" s="121"/>
      <c r="AC69" s="117"/>
      <c r="AD69" s="82"/>
      <c r="AE69" s="83"/>
      <c r="AF69" s="83"/>
      <c r="AG69" s="84"/>
      <c r="AH69" s="15"/>
    </row>
    <row r="70" spans="1:34" s="16" customFormat="1" ht="15.75" customHeight="1" x14ac:dyDescent="0.25">
      <c r="A70" s="64" t="str">
        <f>'Metrado General - Arcaya'!A357</f>
        <v>1.02.05.23.01</v>
      </c>
      <c r="B70" s="635" t="str">
        <f>'Metrado General - Arcaya'!B357</f>
        <v>Salida de desagüe de PVC 4"</v>
      </c>
      <c r="C70" s="636"/>
      <c r="D70" s="636"/>
      <c r="E70" s="636"/>
      <c r="F70" s="636"/>
      <c r="G70" s="637"/>
      <c r="H70" s="78" t="str">
        <f>'Metrado General - Arcaya'!I357</f>
        <v>pto</v>
      </c>
      <c r="I70" s="118"/>
      <c r="J70" s="119"/>
      <c r="K70" s="120"/>
      <c r="L70" s="121"/>
      <c r="M70" s="122"/>
      <c r="N70" s="122"/>
      <c r="O70" s="123"/>
      <c r="P70" s="120"/>
      <c r="Q70" s="124"/>
      <c r="R70" s="125"/>
      <c r="S70" s="120"/>
      <c r="T70" s="121"/>
      <c r="U70" s="122"/>
      <c r="V70" s="123"/>
      <c r="W70" s="120"/>
      <c r="X70" s="121"/>
      <c r="Y70" s="123"/>
      <c r="Z70" s="120"/>
      <c r="AA70" s="121"/>
      <c r="AB70" s="121"/>
      <c r="AC70" s="117">
        <f>'Metrado General - Arcaya'!H357</f>
        <v>3</v>
      </c>
      <c r="AD70" s="82"/>
      <c r="AE70" s="83"/>
      <c r="AF70" s="83"/>
      <c r="AG70" s="84"/>
      <c r="AH70" s="15"/>
    </row>
    <row r="71" spans="1:34" s="16" customFormat="1" ht="15.75" customHeight="1" x14ac:dyDescent="0.25">
      <c r="A71" s="64" t="str">
        <f>'Metrado General - Arcaya'!A361</f>
        <v>1.02.05.23.02</v>
      </c>
      <c r="B71" s="635" t="str">
        <f>'Metrado General - Arcaya'!B361</f>
        <v>Salida de desagüe de PVC 2"</v>
      </c>
      <c r="C71" s="636"/>
      <c r="D71" s="636"/>
      <c r="E71" s="636"/>
      <c r="F71" s="636"/>
      <c r="G71" s="637"/>
      <c r="H71" s="78" t="str">
        <f>'Metrado General - Arcaya'!I361</f>
        <v>pto</v>
      </c>
      <c r="I71" s="118"/>
      <c r="J71" s="119"/>
      <c r="K71" s="120"/>
      <c r="L71" s="121"/>
      <c r="M71" s="122"/>
      <c r="N71" s="122"/>
      <c r="O71" s="123"/>
      <c r="P71" s="120"/>
      <c r="Q71" s="124"/>
      <c r="R71" s="125"/>
      <c r="S71" s="120"/>
      <c r="T71" s="121"/>
      <c r="U71" s="122"/>
      <c r="V71" s="123"/>
      <c r="W71" s="120"/>
      <c r="X71" s="121"/>
      <c r="Y71" s="123"/>
      <c r="Z71" s="120"/>
      <c r="AA71" s="121"/>
      <c r="AB71" s="121"/>
      <c r="AC71" s="117">
        <f>'Metrado General - Arcaya'!H361</f>
        <v>5</v>
      </c>
      <c r="AD71" s="82"/>
      <c r="AE71" s="83"/>
      <c r="AF71" s="83"/>
      <c r="AG71" s="84"/>
      <c r="AH71" s="15"/>
    </row>
    <row r="72" spans="1:34" s="16" customFormat="1" ht="15.75" customHeight="1" x14ac:dyDescent="0.25">
      <c r="A72" s="67" t="str">
        <f>'Metrado General - Arcaya'!A367</f>
        <v>1.02.05.24</v>
      </c>
      <c r="B72" s="638" t="str">
        <f>'Metrado General - Arcaya'!B367</f>
        <v>REDES DE DERIVACIÓN</v>
      </c>
      <c r="C72" s="639"/>
      <c r="D72" s="639"/>
      <c r="E72" s="639"/>
      <c r="F72" s="639"/>
      <c r="G72" s="640"/>
      <c r="H72" s="78"/>
      <c r="I72" s="118"/>
      <c r="J72" s="119"/>
      <c r="K72" s="120"/>
      <c r="L72" s="121"/>
      <c r="M72" s="122"/>
      <c r="N72" s="122"/>
      <c r="O72" s="123"/>
      <c r="P72" s="120"/>
      <c r="Q72" s="124"/>
      <c r="R72" s="125"/>
      <c r="S72" s="120"/>
      <c r="T72" s="121"/>
      <c r="U72" s="122"/>
      <c r="V72" s="123"/>
      <c r="W72" s="120"/>
      <c r="X72" s="121"/>
      <c r="Y72" s="123"/>
      <c r="Z72" s="120"/>
      <c r="AA72" s="121"/>
      <c r="AB72" s="121"/>
      <c r="AC72" s="117"/>
      <c r="AD72" s="82"/>
      <c r="AE72" s="83"/>
      <c r="AF72" s="83"/>
      <c r="AG72" s="84"/>
      <c r="AH72" s="15"/>
    </row>
    <row r="73" spans="1:34" s="16" customFormat="1" ht="15.75" customHeight="1" x14ac:dyDescent="0.25">
      <c r="A73" s="64" t="str">
        <f>'Metrado General - Arcaya'!A368</f>
        <v>1.02.05.24.01</v>
      </c>
      <c r="B73" s="635" t="str">
        <f>'Metrado General - Arcaya'!B368</f>
        <v xml:space="preserve">Tubería de desagüe PVC SAP D = 4" </v>
      </c>
      <c r="C73" s="636"/>
      <c r="D73" s="636"/>
      <c r="E73" s="636"/>
      <c r="F73" s="636"/>
      <c r="G73" s="637"/>
      <c r="H73" s="78" t="str">
        <f>'Metrado General - Arcaya'!I368</f>
        <v>m</v>
      </c>
      <c r="I73" s="118"/>
      <c r="J73" s="119"/>
      <c r="K73" s="120"/>
      <c r="L73" s="121"/>
      <c r="M73" s="122"/>
      <c r="N73" s="122"/>
      <c r="O73" s="123"/>
      <c r="P73" s="120"/>
      <c r="Q73" s="124"/>
      <c r="R73" s="125"/>
      <c r="S73" s="120"/>
      <c r="T73" s="121"/>
      <c r="U73" s="122"/>
      <c r="V73" s="123"/>
      <c r="W73" s="120"/>
      <c r="X73" s="121"/>
      <c r="Y73" s="123"/>
      <c r="Z73" s="120"/>
      <c r="AA73" s="121"/>
      <c r="AB73" s="121"/>
      <c r="AC73" s="117">
        <f>'Metrado General - Arcaya'!H368</f>
        <v>8</v>
      </c>
      <c r="AD73" s="82"/>
      <c r="AE73" s="83"/>
      <c r="AF73" s="83"/>
      <c r="AG73" s="84"/>
      <c r="AH73" s="15"/>
    </row>
    <row r="74" spans="1:34" s="16" customFormat="1" ht="15.75" customHeight="1" x14ac:dyDescent="0.25">
      <c r="A74" s="64" t="str">
        <f>'Metrado General - Arcaya'!A372</f>
        <v>1.02.05.24.02</v>
      </c>
      <c r="B74" s="635" t="str">
        <f>'Metrado General - Arcaya'!B372</f>
        <v xml:space="preserve">Tubería de desagüe PVC SAP D = 2" </v>
      </c>
      <c r="C74" s="636"/>
      <c r="D74" s="636"/>
      <c r="E74" s="636"/>
      <c r="F74" s="636"/>
      <c r="G74" s="637"/>
      <c r="H74" s="126" t="str">
        <f>'Metrado General - Arcaya'!I372</f>
        <v>m</v>
      </c>
      <c r="I74" s="127"/>
      <c r="J74" s="555"/>
      <c r="K74" s="129"/>
      <c r="L74" s="130"/>
      <c r="M74" s="131"/>
      <c r="N74" s="131"/>
      <c r="O74" s="128"/>
      <c r="P74" s="129"/>
      <c r="Q74" s="132"/>
      <c r="R74" s="133"/>
      <c r="S74" s="129"/>
      <c r="T74" s="130"/>
      <c r="U74" s="131"/>
      <c r="V74" s="128"/>
      <c r="W74" s="129"/>
      <c r="X74" s="130"/>
      <c r="Y74" s="128"/>
      <c r="Z74" s="129"/>
      <c r="AA74" s="130"/>
      <c r="AB74" s="130"/>
      <c r="AC74" s="72">
        <f>'Metrado General - Arcaya'!H372</f>
        <v>9.0300000000000011</v>
      </c>
      <c r="AD74" s="82"/>
      <c r="AE74" s="83"/>
      <c r="AF74" s="83"/>
      <c r="AG74" s="84"/>
      <c r="AH74" s="15"/>
    </row>
    <row r="75" spans="1:34" s="16" customFormat="1" ht="15.75" customHeight="1" x14ac:dyDescent="0.25">
      <c r="A75" s="67" t="str">
        <f>'Metrado General - Arcaya'!A378</f>
        <v>1.02.05.25</v>
      </c>
      <c r="B75" s="638" t="str">
        <f>'Metrado General - Arcaya'!B378</f>
        <v>REDES COLECTORAS</v>
      </c>
      <c r="C75" s="639"/>
      <c r="D75" s="639"/>
      <c r="E75" s="639"/>
      <c r="F75" s="639"/>
      <c r="G75" s="640"/>
      <c r="H75" s="78"/>
      <c r="I75" s="118"/>
      <c r="J75" s="119"/>
      <c r="K75" s="120"/>
      <c r="L75" s="121"/>
      <c r="M75" s="122"/>
      <c r="N75" s="122"/>
      <c r="O75" s="123"/>
      <c r="P75" s="120"/>
      <c r="Q75" s="124"/>
      <c r="R75" s="125"/>
      <c r="S75" s="120"/>
      <c r="T75" s="121"/>
      <c r="U75" s="122"/>
      <c r="V75" s="123"/>
      <c r="W75" s="120"/>
      <c r="X75" s="121"/>
      <c r="Y75" s="123"/>
      <c r="Z75" s="120"/>
      <c r="AA75" s="121"/>
      <c r="AB75" s="121"/>
      <c r="AC75" s="117"/>
      <c r="AD75" s="82"/>
      <c r="AE75" s="83"/>
      <c r="AF75" s="83"/>
      <c r="AG75" s="84"/>
      <c r="AH75" s="15"/>
    </row>
    <row r="76" spans="1:34" s="16" customFormat="1" ht="15.75" customHeight="1" x14ac:dyDescent="0.25">
      <c r="A76" s="64" t="str">
        <f>'Metrado General - Arcaya'!A379</f>
        <v>1.02.05.25.01</v>
      </c>
      <c r="B76" s="635" t="str">
        <f>'Metrado General - Arcaya'!B379</f>
        <v xml:space="preserve">Tubería de desagüe PVC SAP D = 4" </v>
      </c>
      <c r="C76" s="636"/>
      <c r="D76" s="636"/>
      <c r="E76" s="636"/>
      <c r="F76" s="636"/>
      <c r="G76" s="637"/>
      <c r="H76" s="78" t="str">
        <f>'Metrado General - Arcaya'!I379</f>
        <v>m</v>
      </c>
      <c r="I76" s="118"/>
      <c r="J76" s="119"/>
      <c r="K76" s="120"/>
      <c r="L76" s="121"/>
      <c r="M76" s="122"/>
      <c r="N76" s="122"/>
      <c r="O76" s="123"/>
      <c r="P76" s="120"/>
      <c r="Q76" s="124"/>
      <c r="R76" s="125"/>
      <c r="S76" s="120"/>
      <c r="T76" s="121"/>
      <c r="U76" s="122"/>
      <c r="V76" s="123"/>
      <c r="W76" s="120"/>
      <c r="X76" s="121"/>
      <c r="Y76" s="123"/>
      <c r="Z76" s="120"/>
      <c r="AA76" s="121"/>
      <c r="AB76" s="121"/>
      <c r="AC76" s="117">
        <f>'Metrado General - Arcaya'!H379</f>
        <v>6.26</v>
      </c>
      <c r="AD76" s="82"/>
      <c r="AE76" s="83"/>
      <c r="AF76" s="83"/>
      <c r="AG76" s="84"/>
      <c r="AH76" s="15"/>
    </row>
    <row r="77" spans="1:34" s="16" customFormat="1" ht="15.75" customHeight="1" x14ac:dyDescent="0.25">
      <c r="A77" s="67" t="str">
        <f>'Metrado General - Arcaya'!A383</f>
        <v>1.02.05.26</v>
      </c>
      <c r="B77" s="638" t="str">
        <f>'Metrado General - Arcaya'!B383</f>
        <v>ACCESORIOS DE REDES DE DESAGUE</v>
      </c>
      <c r="C77" s="639"/>
      <c r="D77" s="639"/>
      <c r="E77" s="639"/>
      <c r="F77" s="639"/>
      <c r="G77" s="640"/>
      <c r="H77" s="78"/>
      <c r="I77" s="118"/>
      <c r="J77" s="119"/>
      <c r="K77" s="120"/>
      <c r="L77" s="121"/>
      <c r="M77" s="122"/>
      <c r="N77" s="122"/>
      <c r="O77" s="123"/>
      <c r="P77" s="120"/>
      <c r="Q77" s="124"/>
      <c r="R77" s="125"/>
      <c r="S77" s="120"/>
      <c r="T77" s="121"/>
      <c r="U77" s="122"/>
      <c r="V77" s="123"/>
      <c r="W77" s="120"/>
      <c r="X77" s="121"/>
      <c r="Y77" s="123"/>
      <c r="Z77" s="120"/>
      <c r="AA77" s="121"/>
      <c r="AB77" s="121"/>
      <c r="AC77" s="117"/>
      <c r="AD77" s="82"/>
      <c r="AE77" s="83"/>
      <c r="AF77" s="83"/>
      <c r="AG77" s="84"/>
      <c r="AH77" s="15"/>
    </row>
    <row r="78" spans="1:34" s="16" customFormat="1" ht="15.75" customHeight="1" x14ac:dyDescent="0.25">
      <c r="A78" s="64" t="str">
        <f>'Metrado General - Arcaya'!A384</f>
        <v>1.02.05.26.01</v>
      </c>
      <c r="B78" s="635" t="str">
        <f>'Metrado General - Arcaya'!B384</f>
        <v>Suministro e instalación de CODO DE 90° PVC 4''</v>
      </c>
      <c r="C78" s="636"/>
      <c r="D78" s="636"/>
      <c r="E78" s="636"/>
      <c r="F78" s="636"/>
      <c r="G78" s="637"/>
      <c r="H78" s="78" t="str">
        <f>'Metrado General - Arcaya'!I384</f>
        <v>und</v>
      </c>
      <c r="I78" s="118"/>
      <c r="J78" s="119"/>
      <c r="K78" s="120"/>
      <c r="L78" s="121"/>
      <c r="M78" s="122"/>
      <c r="N78" s="122"/>
      <c r="O78" s="123"/>
      <c r="P78" s="120"/>
      <c r="Q78" s="124"/>
      <c r="R78" s="125"/>
      <c r="S78" s="120"/>
      <c r="T78" s="121"/>
      <c r="U78" s="122"/>
      <c r="V78" s="123"/>
      <c r="W78" s="120"/>
      <c r="X78" s="121"/>
      <c r="Y78" s="123"/>
      <c r="Z78" s="120"/>
      <c r="AA78" s="121"/>
      <c r="AB78" s="121"/>
      <c r="AC78" s="117">
        <f>'Metrado General - Arcaya'!H384</f>
        <v>2</v>
      </c>
      <c r="AD78" s="82"/>
      <c r="AE78" s="83"/>
      <c r="AF78" s="83"/>
      <c r="AG78" s="84"/>
      <c r="AH78" s="15"/>
    </row>
    <row r="79" spans="1:34" s="16" customFormat="1" ht="15.75" customHeight="1" x14ac:dyDescent="0.25">
      <c r="A79" s="64" t="str">
        <f>'Metrado General - Arcaya'!A388</f>
        <v>1.02.05.26.02</v>
      </c>
      <c r="B79" s="635" t="str">
        <f>'Metrado General - Arcaya'!B388</f>
        <v>Suministro e instalación de CODO DE 90° PVC 2''</v>
      </c>
      <c r="C79" s="636"/>
      <c r="D79" s="636"/>
      <c r="E79" s="636"/>
      <c r="F79" s="636"/>
      <c r="G79" s="637"/>
      <c r="H79" s="78" t="str">
        <f>'Metrado General - Arcaya'!I388</f>
        <v>und</v>
      </c>
      <c r="I79" s="118"/>
      <c r="J79" s="119"/>
      <c r="K79" s="120"/>
      <c r="L79" s="121"/>
      <c r="M79" s="122"/>
      <c r="N79" s="122"/>
      <c r="O79" s="123"/>
      <c r="P79" s="120"/>
      <c r="Q79" s="124"/>
      <c r="R79" s="125"/>
      <c r="S79" s="120"/>
      <c r="T79" s="121"/>
      <c r="U79" s="122"/>
      <c r="V79" s="123"/>
      <c r="W79" s="120"/>
      <c r="X79" s="121"/>
      <c r="Y79" s="123"/>
      <c r="Z79" s="120"/>
      <c r="AA79" s="121"/>
      <c r="AB79" s="121"/>
      <c r="AC79" s="117">
        <f>'Metrado General - Arcaya'!H388</f>
        <v>3</v>
      </c>
      <c r="AD79" s="82"/>
      <c r="AE79" s="83"/>
      <c r="AF79" s="83"/>
      <c r="AG79" s="84"/>
      <c r="AH79" s="15"/>
    </row>
    <row r="80" spans="1:34" s="16" customFormat="1" ht="15.75" customHeight="1" x14ac:dyDescent="0.25">
      <c r="A80" s="64" t="str">
        <f>'Metrado General - Arcaya'!A393</f>
        <v>1.02.05.26.03</v>
      </c>
      <c r="B80" s="635" t="str">
        <f>'Metrado General - Arcaya'!B393</f>
        <v>Suministro e instalación de REGISTRO DE BRONCE 4''</v>
      </c>
      <c r="C80" s="636"/>
      <c r="D80" s="636"/>
      <c r="E80" s="636"/>
      <c r="F80" s="636"/>
      <c r="G80" s="637"/>
      <c r="H80" s="78" t="str">
        <f>'Metrado General - Arcaya'!I393</f>
        <v>und</v>
      </c>
      <c r="I80" s="118"/>
      <c r="J80" s="119"/>
      <c r="K80" s="120"/>
      <c r="L80" s="121"/>
      <c r="M80" s="122"/>
      <c r="N80" s="122"/>
      <c r="O80" s="123"/>
      <c r="P80" s="120"/>
      <c r="Q80" s="124"/>
      <c r="R80" s="125"/>
      <c r="S80" s="120"/>
      <c r="T80" s="121"/>
      <c r="U80" s="122"/>
      <c r="V80" s="123"/>
      <c r="W80" s="120"/>
      <c r="X80" s="121"/>
      <c r="Y80" s="123"/>
      <c r="Z80" s="120"/>
      <c r="AA80" s="121"/>
      <c r="AB80" s="121"/>
      <c r="AC80" s="117">
        <f>'Metrado General - Arcaya'!H393</f>
        <v>1</v>
      </c>
      <c r="AD80" s="82"/>
      <c r="AE80" s="83"/>
      <c r="AF80" s="83"/>
      <c r="AG80" s="84"/>
      <c r="AH80" s="15"/>
    </row>
    <row r="81" spans="1:34" s="16" customFormat="1" ht="15.75" customHeight="1" x14ac:dyDescent="0.25">
      <c r="A81" s="64" t="str">
        <f>'Metrado General - Arcaya'!A397</f>
        <v>1.02.05.26.04</v>
      </c>
      <c r="B81" s="635" t="str">
        <f>'Metrado General - Arcaya'!B397</f>
        <v>Suministro e instalación de SUMIDERO CON TRAMPA P</v>
      </c>
      <c r="C81" s="636"/>
      <c r="D81" s="636"/>
      <c r="E81" s="636"/>
      <c r="F81" s="636"/>
      <c r="G81" s="637"/>
      <c r="H81" s="78" t="str">
        <f>'Metrado General - Arcaya'!I397</f>
        <v>und</v>
      </c>
      <c r="I81" s="118"/>
      <c r="J81" s="119"/>
      <c r="K81" s="120"/>
      <c r="L81" s="121"/>
      <c r="M81" s="122"/>
      <c r="N81" s="122"/>
      <c r="O81" s="123"/>
      <c r="P81" s="120"/>
      <c r="Q81" s="124"/>
      <c r="R81" s="125"/>
      <c r="S81" s="120"/>
      <c r="T81" s="121"/>
      <c r="U81" s="122"/>
      <c r="V81" s="123"/>
      <c r="W81" s="120"/>
      <c r="X81" s="121"/>
      <c r="Y81" s="123"/>
      <c r="Z81" s="120"/>
      <c r="AA81" s="121"/>
      <c r="AB81" s="121"/>
      <c r="AC81" s="117">
        <f>'Metrado General - Arcaya'!H397</f>
        <v>4</v>
      </c>
      <c r="AD81" s="82"/>
      <c r="AE81" s="83"/>
      <c r="AF81" s="83"/>
      <c r="AG81" s="84"/>
      <c r="AH81" s="15"/>
    </row>
    <row r="82" spans="1:34" s="16" customFormat="1" ht="15.75" customHeight="1" x14ac:dyDescent="0.25">
      <c r="A82" s="64" t="str">
        <f>'Metrado General - Arcaya'!A402</f>
        <v>1.02.05.26.05</v>
      </c>
      <c r="B82" s="635" t="str">
        <f>'Metrado General - Arcaya'!B402</f>
        <v>Suministro e instalación de TEE 4"</v>
      </c>
      <c r="C82" s="636"/>
      <c r="D82" s="636"/>
      <c r="E82" s="636"/>
      <c r="F82" s="636"/>
      <c r="G82" s="637"/>
      <c r="H82" s="78" t="str">
        <f>'Metrado General - Arcaya'!I402</f>
        <v>und</v>
      </c>
      <c r="I82" s="118"/>
      <c r="J82" s="119"/>
      <c r="K82" s="120"/>
      <c r="L82" s="121"/>
      <c r="M82" s="122"/>
      <c r="N82" s="122"/>
      <c r="O82" s="123"/>
      <c r="P82" s="120"/>
      <c r="Q82" s="124"/>
      <c r="R82" s="125"/>
      <c r="S82" s="120"/>
      <c r="T82" s="121"/>
      <c r="U82" s="122"/>
      <c r="V82" s="123"/>
      <c r="W82" s="120"/>
      <c r="X82" s="121"/>
      <c r="Y82" s="123"/>
      <c r="Z82" s="120"/>
      <c r="AA82" s="121"/>
      <c r="AB82" s="121"/>
      <c r="AC82" s="117">
        <f>'Metrado General - Arcaya'!H402</f>
        <v>1</v>
      </c>
      <c r="AD82" s="82"/>
      <c r="AE82" s="83"/>
      <c r="AF82" s="83"/>
      <c r="AG82" s="84"/>
      <c r="AH82" s="15"/>
    </row>
    <row r="83" spans="1:34" s="16" customFormat="1" ht="15.75" customHeight="1" x14ac:dyDescent="0.25">
      <c r="A83" s="64" t="str">
        <f>'Metrado General - Arcaya'!A406</f>
        <v>1.02.05.26.06</v>
      </c>
      <c r="B83" s="635" t="str">
        <f>'Metrado General - Arcaya'!B406</f>
        <v>Suministro e instalación de YEE SIMPLE 4"</v>
      </c>
      <c r="C83" s="636"/>
      <c r="D83" s="636"/>
      <c r="E83" s="636"/>
      <c r="F83" s="636"/>
      <c r="G83" s="637"/>
      <c r="H83" s="78" t="str">
        <f>'Metrado General - Arcaya'!I406</f>
        <v>und</v>
      </c>
      <c r="I83" s="118"/>
      <c r="J83" s="119"/>
      <c r="K83" s="120"/>
      <c r="L83" s="121"/>
      <c r="M83" s="122"/>
      <c r="N83" s="122"/>
      <c r="O83" s="123"/>
      <c r="P83" s="120"/>
      <c r="Q83" s="124"/>
      <c r="R83" s="125"/>
      <c r="S83" s="120"/>
      <c r="T83" s="121"/>
      <c r="U83" s="122"/>
      <c r="V83" s="123"/>
      <c r="W83" s="120"/>
      <c r="X83" s="121"/>
      <c r="Y83" s="123"/>
      <c r="Z83" s="120"/>
      <c r="AA83" s="121"/>
      <c r="AB83" s="121"/>
      <c r="AC83" s="117">
        <f>'Metrado General - Arcaya'!H406</f>
        <v>3</v>
      </c>
      <c r="AD83" s="82"/>
      <c r="AE83" s="83"/>
      <c r="AF83" s="83"/>
      <c r="AG83" s="84"/>
      <c r="AH83" s="15"/>
    </row>
    <row r="84" spans="1:34" s="16" customFormat="1" ht="15.75" customHeight="1" x14ac:dyDescent="0.25">
      <c r="A84" s="64" t="str">
        <f>'Metrado General - Arcaya'!A410</f>
        <v>1.02.05.26.07</v>
      </c>
      <c r="B84" s="635" t="str">
        <f>'Metrado General - Arcaya'!B410</f>
        <v>Suministro e instalación de YEE DE 4" A 2"</v>
      </c>
      <c r="C84" s="636"/>
      <c r="D84" s="636"/>
      <c r="E84" s="636"/>
      <c r="F84" s="636"/>
      <c r="G84" s="637"/>
      <c r="H84" s="78" t="str">
        <f>'Metrado General - Arcaya'!I410</f>
        <v>und</v>
      </c>
      <c r="I84" s="118"/>
      <c r="J84" s="119"/>
      <c r="K84" s="120"/>
      <c r="L84" s="121"/>
      <c r="M84" s="122"/>
      <c r="N84" s="122"/>
      <c r="O84" s="123"/>
      <c r="P84" s="120"/>
      <c r="Q84" s="124"/>
      <c r="R84" s="125"/>
      <c r="S84" s="120"/>
      <c r="T84" s="121"/>
      <c r="U84" s="122"/>
      <c r="V84" s="123"/>
      <c r="W84" s="120"/>
      <c r="X84" s="121"/>
      <c r="Y84" s="123"/>
      <c r="Z84" s="120"/>
      <c r="AA84" s="121"/>
      <c r="AB84" s="121"/>
      <c r="AC84" s="117">
        <f>'Metrado General - Arcaya'!H410</f>
        <v>5</v>
      </c>
      <c r="AD84" s="82"/>
      <c r="AE84" s="83"/>
      <c r="AF84" s="83"/>
      <c r="AG84" s="84"/>
      <c r="AH84" s="15"/>
    </row>
    <row r="85" spans="1:34" s="16" customFormat="1" ht="15.75" customHeight="1" x14ac:dyDescent="0.25">
      <c r="A85" s="64" t="str">
        <f>'Metrado General - Arcaya'!A416</f>
        <v>1.02.05.26.08</v>
      </c>
      <c r="B85" s="635" t="str">
        <f>'Metrado General - Arcaya'!B416</f>
        <v>Suministro e instalación de SOMBRERO DE VENTILACIÓN 4''</v>
      </c>
      <c r="C85" s="636"/>
      <c r="D85" s="636"/>
      <c r="E85" s="636"/>
      <c r="F85" s="636"/>
      <c r="G85" s="637"/>
      <c r="H85" s="78" t="str">
        <f>'Metrado General - Arcaya'!I416</f>
        <v>und</v>
      </c>
      <c r="I85" s="118"/>
      <c r="J85" s="119"/>
      <c r="K85" s="120"/>
      <c r="L85" s="121"/>
      <c r="M85" s="122"/>
      <c r="N85" s="122"/>
      <c r="O85" s="123"/>
      <c r="P85" s="120"/>
      <c r="Q85" s="124"/>
      <c r="R85" s="125"/>
      <c r="S85" s="120"/>
      <c r="T85" s="121"/>
      <c r="U85" s="122"/>
      <c r="V85" s="123"/>
      <c r="W85" s="120"/>
      <c r="X85" s="121"/>
      <c r="Y85" s="123"/>
      <c r="Z85" s="120"/>
      <c r="AA85" s="121"/>
      <c r="AB85" s="121"/>
      <c r="AC85" s="117">
        <f>'Metrado General - Arcaya'!H416</f>
        <v>1</v>
      </c>
      <c r="AD85" s="82"/>
      <c r="AE85" s="83"/>
      <c r="AF85" s="83"/>
      <c r="AG85" s="84"/>
      <c r="AH85" s="15"/>
    </row>
    <row r="86" spans="1:34" s="16" customFormat="1" x14ac:dyDescent="0.25">
      <c r="A86" s="67" t="str">
        <f>'Metrado General - Arcaya'!A420</f>
        <v>1.02.05.27</v>
      </c>
      <c r="B86" s="677" t="str">
        <f>'Metrado General - Arcaya'!B420</f>
        <v>CAMARAS DE INSPECCIÓN</v>
      </c>
      <c r="C86" s="678"/>
      <c r="D86" s="678"/>
      <c r="E86" s="678"/>
      <c r="F86" s="678"/>
      <c r="G86" s="679"/>
      <c r="H86" s="126"/>
      <c r="I86" s="127"/>
      <c r="J86" s="128"/>
      <c r="K86" s="129"/>
      <c r="L86" s="130"/>
      <c r="M86" s="131"/>
      <c r="N86" s="131"/>
      <c r="O86" s="128"/>
      <c r="P86" s="129"/>
      <c r="Q86" s="132"/>
      <c r="R86" s="133"/>
      <c r="S86" s="129"/>
      <c r="T86" s="130"/>
      <c r="U86" s="131"/>
      <c r="V86" s="128"/>
      <c r="W86" s="129"/>
      <c r="X86" s="130"/>
      <c r="Y86" s="128"/>
      <c r="Z86" s="129"/>
      <c r="AA86" s="130"/>
      <c r="AB86" s="130"/>
      <c r="AC86" s="72"/>
      <c r="AD86" s="82"/>
      <c r="AE86" s="83"/>
      <c r="AF86" s="83"/>
      <c r="AG86" s="84"/>
      <c r="AH86" s="15"/>
    </row>
    <row r="87" spans="1:34" s="16" customFormat="1" ht="15.75" customHeight="1" x14ac:dyDescent="0.25">
      <c r="A87" s="64" t="str">
        <f>'Metrado General - Arcaya'!A421</f>
        <v>1.02.05.27.01</v>
      </c>
      <c r="B87" s="635" t="str">
        <f>'Metrado General - Arcaya'!B421</f>
        <v xml:space="preserve">Suministro e instalación de CAJA DE REGISTRO </v>
      </c>
      <c r="C87" s="636"/>
      <c r="D87" s="636"/>
      <c r="E87" s="636"/>
      <c r="F87" s="636"/>
      <c r="G87" s="637"/>
      <c r="H87" s="78" t="str">
        <f>'Metrado General - Arcaya'!I421</f>
        <v>und</v>
      </c>
      <c r="I87" s="118"/>
      <c r="J87" s="119"/>
      <c r="K87" s="120"/>
      <c r="L87" s="121"/>
      <c r="M87" s="122"/>
      <c r="N87" s="122"/>
      <c r="O87" s="123"/>
      <c r="P87" s="120"/>
      <c r="Q87" s="124"/>
      <c r="R87" s="125"/>
      <c r="S87" s="120"/>
      <c r="T87" s="121"/>
      <c r="U87" s="122"/>
      <c r="V87" s="123"/>
      <c r="W87" s="120"/>
      <c r="X87" s="121"/>
      <c r="Y87" s="123"/>
      <c r="Z87" s="120"/>
      <c r="AA87" s="121"/>
      <c r="AB87" s="121"/>
      <c r="AC87" s="117">
        <f>'Metrado General - Arcaya'!H421</f>
        <v>1</v>
      </c>
      <c r="AD87" s="82"/>
      <c r="AE87" s="83"/>
      <c r="AF87" s="83"/>
      <c r="AG87" s="84"/>
      <c r="AH87" s="15"/>
    </row>
    <row r="88" spans="1:34" s="16" customFormat="1" x14ac:dyDescent="0.25">
      <c r="A88" s="105" t="str">
        <f>'Metrado General - Arcaya'!A425</f>
        <v>1.02.06</v>
      </c>
      <c r="B88" s="672" t="str">
        <f>+'Metrado General - Arcaya'!B425</f>
        <v>DEMOLICION Y DESMONTAJE</v>
      </c>
      <c r="C88" s="673"/>
      <c r="D88" s="673"/>
      <c r="E88" s="673"/>
      <c r="F88" s="673"/>
      <c r="G88" s="674"/>
      <c r="H88" s="134"/>
      <c r="I88" s="135"/>
      <c r="J88" s="136"/>
      <c r="K88" s="136"/>
      <c r="L88" s="136"/>
      <c r="M88" s="136"/>
      <c r="N88" s="136"/>
      <c r="O88" s="136"/>
      <c r="P88" s="136"/>
      <c r="Q88" s="134"/>
      <c r="R88" s="137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4"/>
      <c r="AD88" s="82"/>
      <c r="AE88" s="83"/>
      <c r="AF88" s="83"/>
      <c r="AG88" s="84"/>
      <c r="AH88" s="15"/>
    </row>
    <row r="89" spans="1:34" s="16" customFormat="1" ht="15.75" customHeight="1" x14ac:dyDescent="0.25">
      <c r="A89" s="64" t="str">
        <f>'Metrado General - Arcaya'!A426</f>
        <v>1.02.06.01</v>
      </c>
      <c r="B89" s="635" t="str">
        <f>+'Metrado General - Arcaya'!B426</f>
        <v>Demolicion de edificacion existente c/ Maquinaria</v>
      </c>
      <c r="C89" s="636"/>
      <c r="D89" s="636"/>
      <c r="E89" s="636"/>
      <c r="F89" s="636"/>
      <c r="G89" s="637"/>
      <c r="H89" s="78" t="str">
        <f>+'Metrado General - Arcaya'!I426</f>
        <v>m3</v>
      </c>
      <c r="I89" s="118">
        <f>+'Metrado General - Arcaya'!H426</f>
        <v>3761.9381900000003</v>
      </c>
      <c r="J89" s="119"/>
      <c r="K89" s="120"/>
      <c r="L89" s="121"/>
      <c r="M89" s="122"/>
      <c r="N89" s="122"/>
      <c r="O89" s="123"/>
      <c r="P89" s="120"/>
      <c r="Q89" s="124"/>
      <c r="R89" s="125"/>
      <c r="S89" s="120"/>
      <c r="T89" s="121"/>
      <c r="U89" s="122"/>
      <c r="V89" s="123"/>
      <c r="W89" s="120"/>
      <c r="X89" s="121"/>
      <c r="Y89" s="123"/>
      <c r="Z89" s="120"/>
      <c r="AA89" s="121"/>
      <c r="AB89" s="121"/>
      <c r="AC89" s="117">
        <f>'Metrado General - Arcaya'!H426</f>
        <v>3761.9381900000003</v>
      </c>
      <c r="AD89" s="82"/>
      <c r="AE89" s="83"/>
      <c r="AF89" s="83"/>
      <c r="AG89" s="84"/>
      <c r="AH89" s="15"/>
    </row>
    <row r="90" spans="1:34" s="16" customFormat="1" ht="15.75" customHeight="1" x14ac:dyDescent="0.25">
      <c r="A90" s="64" t="str">
        <f>'Metrado General - Arcaya'!A871</f>
        <v>1.02.06.02</v>
      </c>
      <c r="B90" s="635" t="str">
        <f>'Metrado General - Arcaya'!B871</f>
        <v>Demolicion manual de Cunetas existentes</v>
      </c>
      <c r="C90" s="636"/>
      <c r="D90" s="636"/>
      <c r="E90" s="636"/>
      <c r="F90" s="636"/>
      <c r="G90" s="637"/>
      <c r="H90" s="78" t="str">
        <f>'Metrado General - Arcaya'!I871</f>
        <v>m3</v>
      </c>
      <c r="I90" s="118"/>
      <c r="J90" s="119"/>
      <c r="K90" s="120"/>
      <c r="L90" s="121"/>
      <c r="M90" s="122"/>
      <c r="N90" s="122"/>
      <c r="O90" s="123"/>
      <c r="P90" s="120"/>
      <c r="Q90" s="124"/>
      <c r="R90" s="125"/>
      <c r="S90" s="120"/>
      <c r="T90" s="121"/>
      <c r="U90" s="122"/>
      <c r="V90" s="123"/>
      <c r="W90" s="120"/>
      <c r="X90" s="121"/>
      <c r="Y90" s="123"/>
      <c r="Z90" s="120"/>
      <c r="AA90" s="121"/>
      <c r="AB90" s="121"/>
      <c r="AC90" s="117">
        <f>'Metrado General - Arcaya'!H871</f>
        <v>54.203440000000008</v>
      </c>
      <c r="AD90" s="82"/>
      <c r="AE90" s="83"/>
      <c r="AF90" s="83"/>
      <c r="AG90" s="84"/>
      <c r="AH90" s="15"/>
    </row>
    <row r="91" spans="1:34" s="16" customFormat="1" ht="15.75" customHeight="1" x14ac:dyDescent="0.25">
      <c r="A91" s="64" t="str">
        <f>'Metrado General - Arcaya'!A877</f>
        <v>1.02.06.03</v>
      </c>
      <c r="B91" s="635" t="str">
        <f>+'Metrado General - Arcaya'!B877</f>
        <v>Desmontaje de Aparatos Sanitarios  existentes manual</v>
      </c>
      <c r="C91" s="636"/>
      <c r="D91" s="636"/>
      <c r="E91" s="636"/>
      <c r="F91" s="636"/>
      <c r="G91" s="637"/>
      <c r="H91" s="78" t="str">
        <f>+'Metrado General - Arcaya'!I877</f>
        <v>und</v>
      </c>
      <c r="I91" s="118">
        <f>+'Metrado General - Arcaya'!H877</f>
        <v>26</v>
      </c>
      <c r="J91" s="119"/>
      <c r="K91" s="120"/>
      <c r="L91" s="121"/>
      <c r="M91" s="122"/>
      <c r="N91" s="122"/>
      <c r="O91" s="123"/>
      <c r="P91" s="120"/>
      <c r="Q91" s="124"/>
      <c r="R91" s="125"/>
      <c r="S91" s="120"/>
      <c r="T91" s="121"/>
      <c r="U91" s="122"/>
      <c r="V91" s="123"/>
      <c r="W91" s="120"/>
      <c r="X91" s="121"/>
      <c r="Y91" s="123"/>
      <c r="Z91" s="120"/>
      <c r="AA91" s="121"/>
      <c r="AB91" s="121"/>
      <c r="AC91" s="117">
        <f>'Metrado General - Arcaya'!H877</f>
        <v>26</v>
      </c>
      <c r="AD91" s="82"/>
      <c r="AE91" s="83"/>
      <c r="AF91" s="83"/>
      <c r="AG91" s="84"/>
      <c r="AH91" s="15"/>
    </row>
    <row r="92" spans="1:34" s="16" customFormat="1" ht="15.75" customHeight="1" x14ac:dyDescent="0.25">
      <c r="A92" s="64" t="str">
        <f>'Metrado General - Arcaya'!A882</f>
        <v>1.02.06.04</v>
      </c>
      <c r="B92" s="635" t="str">
        <f>+'Metrado General - Arcaya'!B882</f>
        <v>Desmontaje de cobertura en edificacion existente</v>
      </c>
      <c r="C92" s="636"/>
      <c r="D92" s="636"/>
      <c r="E92" s="636"/>
      <c r="F92" s="636"/>
      <c r="G92" s="637"/>
      <c r="H92" s="78" t="str">
        <f>+'Metrado General - Arcaya'!I882</f>
        <v>m2</v>
      </c>
      <c r="I92" s="118">
        <f>+'Metrado General - Arcaya'!H882</f>
        <v>2438.5434999999998</v>
      </c>
      <c r="J92" s="119"/>
      <c r="K92" s="120"/>
      <c r="L92" s="121"/>
      <c r="M92" s="122"/>
      <c r="N92" s="122"/>
      <c r="O92" s="123"/>
      <c r="P92" s="120"/>
      <c r="Q92" s="124"/>
      <c r="R92" s="125"/>
      <c r="S92" s="120"/>
      <c r="T92" s="121"/>
      <c r="U92" s="122"/>
      <c r="V92" s="123"/>
      <c r="W92" s="120"/>
      <c r="X92" s="121"/>
      <c r="Y92" s="123"/>
      <c r="Z92" s="120"/>
      <c r="AA92" s="121"/>
      <c r="AB92" s="121"/>
      <c r="AC92" s="117">
        <f>'Metrado General - Arcaya'!H882</f>
        <v>2438.5434999999998</v>
      </c>
      <c r="AD92" s="82"/>
      <c r="AE92" s="83"/>
      <c r="AF92" s="83"/>
      <c r="AG92" s="84"/>
      <c r="AH92" s="15"/>
    </row>
    <row r="93" spans="1:34" s="16" customFormat="1" ht="15.75" customHeight="1" x14ac:dyDescent="0.25">
      <c r="A93" s="64" t="str">
        <f>'Metrado General - Arcaya'!A909</f>
        <v>1.02.06.05</v>
      </c>
      <c r="B93" s="635" t="str">
        <f>+'Metrado General - Arcaya'!B909</f>
        <v>Desmontaje de cerco, ventanas y puertas metalicas</v>
      </c>
      <c r="C93" s="636"/>
      <c r="D93" s="636"/>
      <c r="E93" s="636"/>
      <c r="F93" s="636"/>
      <c r="G93" s="637"/>
      <c r="H93" s="78" t="str">
        <f>+'Metrado General - Arcaya'!I909</f>
        <v>m2</v>
      </c>
      <c r="I93" s="118">
        <f>+'Metrado General - Arcaya'!H909</f>
        <v>1087.1951000000006</v>
      </c>
      <c r="J93" s="119"/>
      <c r="K93" s="120"/>
      <c r="L93" s="121"/>
      <c r="M93" s="122"/>
      <c r="N93" s="122"/>
      <c r="O93" s="123"/>
      <c r="P93" s="120"/>
      <c r="Q93" s="124"/>
      <c r="R93" s="125"/>
      <c r="S93" s="120"/>
      <c r="T93" s="121"/>
      <c r="U93" s="122"/>
      <c r="V93" s="123"/>
      <c r="W93" s="120"/>
      <c r="X93" s="121"/>
      <c r="Y93" s="123"/>
      <c r="Z93" s="120"/>
      <c r="AA93" s="121"/>
      <c r="AB93" s="121"/>
      <c r="AC93" s="117">
        <f>'Metrado General - Arcaya'!H909</f>
        <v>1087.1951000000006</v>
      </c>
      <c r="AD93" s="82"/>
      <c r="AE93" s="83"/>
      <c r="AF93" s="83"/>
      <c r="AG93" s="84"/>
      <c r="AH93" s="15"/>
    </row>
    <row r="94" spans="1:34" s="16" customFormat="1" ht="15.75" customHeight="1" x14ac:dyDescent="0.25">
      <c r="A94" s="64" t="str">
        <f>'Metrado General - Arcaya'!A1079</f>
        <v>1.02.06.06</v>
      </c>
      <c r="B94" s="635" t="str">
        <f>'Metrado General - Arcaya'!B1079</f>
        <v>Desmontaje de aula de Drywall  existente Manual</v>
      </c>
      <c r="C94" s="636"/>
      <c r="D94" s="636"/>
      <c r="E94" s="636"/>
      <c r="F94" s="636"/>
      <c r="G94" s="637"/>
      <c r="H94" s="78" t="str">
        <f>+'Metrado General - Arcaya'!I1089</f>
        <v>m2</v>
      </c>
      <c r="I94" s="118">
        <f>+'Metrado General - Arcaya'!H1089</f>
        <v>1386.2467999999999</v>
      </c>
      <c r="J94" s="119"/>
      <c r="K94" s="120"/>
      <c r="L94" s="121"/>
      <c r="M94" s="122"/>
      <c r="N94" s="122"/>
      <c r="O94" s="123"/>
      <c r="P94" s="120"/>
      <c r="Q94" s="124"/>
      <c r="R94" s="125"/>
      <c r="S94" s="120"/>
      <c r="T94" s="121"/>
      <c r="U94" s="122"/>
      <c r="V94" s="123"/>
      <c r="W94" s="120"/>
      <c r="X94" s="121"/>
      <c r="Y94" s="123"/>
      <c r="Z94" s="120"/>
      <c r="AA94" s="121"/>
      <c r="AB94" s="121"/>
      <c r="AC94" s="117">
        <f>'Metrado General - Arcaya'!H1079</f>
        <v>356.38299999999998</v>
      </c>
      <c r="AD94" s="82"/>
      <c r="AE94" s="83"/>
      <c r="AF94" s="83"/>
      <c r="AG94" s="84"/>
      <c r="AH94" s="15"/>
    </row>
    <row r="95" spans="1:34" s="16" customFormat="1" ht="15.75" customHeight="1" x14ac:dyDescent="0.25">
      <c r="A95" s="64" t="str">
        <f>'Metrado General - Arcaya'!A1089</f>
        <v>1.02.06.07</v>
      </c>
      <c r="B95" s="635" t="str">
        <f>'Metrado General - Arcaya'!B1089</f>
        <v xml:space="preserve">Desmontaje manual de aula prefabricada de material termico  inc. Puertas y ventanas </v>
      </c>
      <c r="C95" s="636"/>
      <c r="D95" s="636"/>
      <c r="E95" s="636"/>
      <c r="F95" s="636"/>
      <c r="G95" s="637"/>
      <c r="H95" s="78" t="str">
        <f>'Metrado General - Arcaya'!I1089</f>
        <v>m2</v>
      </c>
      <c r="I95" s="118"/>
      <c r="J95" s="119"/>
      <c r="K95" s="120"/>
      <c r="L95" s="121"/>
      <c r="M95" s="122"/>
      <c r="N95" s="122"/>
      <c r="O95" s="123"/>
      <c r="P95" s="120"/>
      <c r="Q95" s="124"/>
      <c r="R95" s="125"/>
      <c r="S95" s="120"/>
      <c r="T95" s="121"/>
      <c r="U95" s="122"/>
      <c r="V95" s="123"/>
      <c r="W95" s="120"/>
      <c r="X95" s="121"/>
      <c r="Y95" s="123"/>
      <c r="Z95" s="120"/>
      <c r="AA95" s="121"/>
      <c r="AB95" s="121"/>
      <c r="AC95" s="117">
        <f>'Metrado General - Arcaya'!H1089</f>
        <v>1386.2467999999999</v>
      </c>
      <c r="AD95" s="82"/>
      <c r="AE95" s="83"/>
      <c r="AF95" s="83"/>
      <c r="AG95" s="84"/>
      <c r="AH95" s="15"/>
    </row>
    <row r="96" spans="1:34" s="16" customFormat="1" ht="15.75" customHeight="1" x14ac:dyDescent="0.25">
      <c r="A96" s="64" t="str">
        <f>'Metrado General - Arcaya'!A1095</f>
        <v>1.02.06.08</v>
      </c>
      <c r="B96" s="635" t="str">
        <f>'Metrado General - Arcaya'!B1095</f>
        <v xml:space="preserve">Desmontaje manual de Estructura metalica para cobertura de Malla Raschell existente </v>
      </c>
      <c r="C96" s="636"/>
      <c r="D96" s="636"/>
      <c r="E96" s="636"/>
      <c r="F96" s="636"/>
      <c r="G96" s="637"/>
      <c r="H96" s="78" t="str">
        <f>'Metrado General - Arcaya'!I1095</f>
        <v>und</v>
      </c>
      <c r="I96" s="118"/>
      <c r="J96" s="119"/>
      <c r="K96" s="120"/>
      <c r="L96" s="121"/>
      <c r="M96" s="122"/>
      <c r="N96" s="122"/>
      <c r="O96" s="123"/>
      <c r="P96" s="120"/>
      <c r="Q96" s="124"/>
      <c r="R96" s="125"/>
      <c r="S96" s="120"/>
      <c r="T96" s="121"/>
      <c r="U96" s="122"/>
      <c r="V96" s="123"/>
      <c r="W96" s="120"/>
      <c r="X96" s="121"/>
      <c r="Y96" s="123"/>
      <c r="Z96" s="120"/>
      <c r="AA96" s="121"/>
      <c r="AB96" s="121"/>
      <c r="AC96" s="117">
        <f>'Metrado General - Arcaya'!H1095</f>
        <v>15</v>
      </c>
      <c r="AD96" s="82"/>
      <c r="AE96" s="83"/>
      <c r="AF96" s="83"/>
      <c r="AG96" s="84"/>
      <c r="AH96" s="15"/>
    </row>
    <row r="97" spans="1:34" s="16" customFormat="1" ht="15.75" customHeight="1" x14ac:dyDescent="0.25">
      <c r="A97" s="64" t="str">
        <f>'Metrado General - Arcaya'!A1101</f>
        <v>1.02.06.09</v>
      </c>
      <c r="B97" s="635" t="str">
        <f>'Metrado General - Arcaya'!B1101</f>
        <v>Desmontaje de Cantoneras Metalicas  existente Manual</v>
      </c>
      <c r="C97" s="636"/>
      <c r="D97" s="636"/>
      <c r="E97" s="636"/>
      <c r="F97" s="636"/>
      <c r="G97" s="637"/>
      <c r="H97" s="78" t="str">
        <f>'Metrado General - Arcaya'!I1101</f>
        <v>m</v>
      </c>
      <c r="I97" s="118"/>
      <c r="J97" s="119"/>
      <c r="K97" s="120"/>
      <c r="L97" s="121"/>
      <c r="M97" s="122"/>
      <c r="N97" s="122"/>
      <c r="O97" s="123"/>
      <c r="P97" s="120"/>
      <c r="Q97" s="124"/>
      <c r="R97" s="125"/>
      <c r="S97" s="120"/>
      <c r="T97" s="121"/>
      <c r="U97" s="122"/>
      <c r="V97" s="123"/>
      <c r="W97" s="120"/>
      <c r="X97" s="121"/>
      <c r="Y97" s="123"/>
      <c r="Z97" s="120"/>
      <c r="AA97" s="121"/>
      <c r="AB97" s="121"/>
      <c r="AC97" s="117">
        <f>'Metrado General - Arcaya'!H1101</f>
        <v>32</v>
      </c>
      <c r="AD97" s="82"/>
      <c r="AE97" s="83"/>
      <c r="AF97" s="83"/>
      <c r="AG97" s="84"/>
      <c r="AH97" s="15"/>
    </row>
    <row r="98" spans="1:34" s="16" customFormat="1" ht="15.75" customHeight="1" x14ac:dyDescent="0.25">
      <c r="A98" s="64" t="str">
        <f>'Metrado General - Arcaya'!A1106</f>
        <v>1.02.06.10</v>
      </c>
      <c r="B98" s="635" t="str">
        <f>'Metrado General - Arcaya'!B1106</f>
        <v>Desmontaje de Pasamanos  Metalicas  existente Manual</v>
      </c>
      <c r="C98" s="636"/>
      <c r="D98" s="636"/>
      <c r="E98" s="636"/>
      <c r="F98" s="636"/>
      <c r="G98" s="637"/>
      <c r="H98" s="78" t="str">
        <f>'Metrado General - Arcaya'!I1106</f>
        <v>m</v>
      </c>
      <c r="I98" s="118"/>
      <c r="J98" s="119"/>
      <c r="K98" s="120"/>
      <c r="L98" s="121"/>
      <c r="M98" s="122"/>
      <c r="N98" s="122"/>
      <c r="O98" s="123"/>
      <c r="P98" s="120"/>
      <c r="Q98" s="124"/>
      <c r="R98" s="125"/>
      <c r="S98" s="120"/>
      <c r="T98" s="121"/>
      <c r="U98" s="122"/>
      <c r="V98" s="123"/>
      <c r="W98" s="120"/>
      <c r="X98" s="121"/>
      <c r="Y98" s="123"/>
      <c r="Z98" s="120"/>
      <c r="AA98" s="121"/>
      <c r="AB98" s="121"/>
      <c r="AC98" s="117">
        <f>'Metrado General - Arcaya'!H1106</f>
        <v>5.6</v>
      </c>
      <c r="AD98" s="82"/>
      <c r="AE98" s="83"/>
      <c r="AF98" s="83"/>
      <c r="AG98" s="84"/>
      <c r="AH98" s="15"/>
    </row>
    <row r="99" spans="1:34" s="16" customFormat="1" ht="15.75" customHeight="1" x14ac:dyDescent="0.25">
      <c r="A99" s="64" t="str">
        <f>'Metrado General - Arcaya'!A1110</f>
        <v>1.02.06.11</v>
      </c>
      <c r="B99" s="635" t="str">
        <f>'Metrado General - Arcaya'!B1110</f>
        <v>Desmontaje de Grutas y bustos   existente Manual</v>
      </c>
      <c r="C99" s="636"/>
      <c r="D99" s="636"/>
      <c r="E99" s="636"/>
      <c r="F99" s="636"/>
      <c r="G99" s="637"/>
      <c r="H99" s="78" t="str">
        <f>'Metrado General - Arcaya'!I1110</f>
        <v>und</v>
      </c>
      <c r="I99" s="118"/>
      <c r="J99" s="119"/>
      <c r="K99" s="120"/>
      <c r="L99" s="121"/>
      <c r="M99" s="122"/>
      <c r="N99" s="122"/>
      <c r="O99" s="123"/>
      <c r="P99" s="120"/>
      <c r="Q99" s="124"/>
      <c r="R99" s="125"/>
      <c r="S99" s="120"/>
      <c r="T99" s="121"/>
      <c r="U99" s="122"/>
      <c r="V99" s="123"/>
      <c r="W99" s="120"/>
      <c r="X99" s="121"/>
      <c r="Y99" s="123"/>
      <c r="Z99" s="120"/>
      <c r="AA99" s="121"/>
      <c r="AB99" s="121"/>
      <c r="AC99" s="117">
        <f>'Metrado General - Arcaya'!H1110</f>
        <v>2</v>
      </c>
      <c r="AD99" s="82"/>
      <c r="AE99" s="83"/>
      <c r="AF99" s="83"/>
      <c r="AG99" s="84"/>
      <c r="AH99" s="15"/>
    </row>
    <row r="100" spans="1:34" s="16" customFormat="1" ht="15.75" customHeight="1" x14ac:dyDescent="0.25">
      <c r="A100" s="64" t="str">
        <f>'Metrado General - Arcaya'!A1114</f>
        <v>1.02.06.12</v>
      </c>
      <c r="B100" s="635" t="str">
        <f>'Metrado General - Arcaya'!B1114</f>
        <v>Desmontaje de Asta de Bandera  existente Manual</v>
      </c>
      <c r="C100" s="636"/>
      <c r="D100" s="636"/>
      <c r="E100" s="636"/>
      <c r="F100" s="636"/>
      <c r="G100" s="637"/>
      <c r="H100" s="78" t="str">
        <f>'Metrado General - Arcaya'!I1114</f>
        <v>und</v>
      </c>
      <c r="I100" s="118"/>
      <c r="J100" s="119"/>
      <c r="K100" s="120"/>
      <c r="L100" s="121"/>
      <c r="M100" s="122"/>
      <c r="N100" s="122"/>
      <c r="O100" s="123"/>
      <c r="P100" s="120"/>
      <c r="Q100" s="124"/>
      <c r="R100" s="125"/>
      <c r="S100" s="120"/>
      <c r="T100" s="121"/>
      <c r="U100" s="122"/>
      <c r="V100" s="123"/>
      <c r="W100" s="120"/>
      <c r="X100" s="121"/>
      <c r="Y100" s="123"/>
      <c r="Z100" s="120"/>
      <c r="AA100" s="121"/>
      <c r="AB100" s="121"/>
      <c r="AC100" s="117">
        <f>'Metrado General - Arcaya'!H1114</f>
        <v>2</v>
      </c>
      <c r="AD100" s="82"/>
      <c r="AE100" s="83"/>
      <c r="AF100" s="83"/>
      <c r="AG100" s="84"/>
      <c r="AH100" s="15"/>
    </row>
    <row r="101" spans="1:34" s="16" customFormat="1" ht="15.75" customHeight="1" x14ac:dyDescent="0.25">
      <c r="A101" s="64" t="str">
        <f>'Metrado General - Arcaya'!A1118</f>
        <v>1.02.06.13</v>
      </c>
      <c r="B101" s="635" t="str">
        <f>'Metrado General - Arcaya'!B1118</f>
        <v>Desmontaje de depositos para basura  existente Manual</v>
      </c>
      <c r="C101" s="636"/>
      <c r="D101" s="636"/>
      <c r="E101" s="636"/>
      <c r="F101" s="636"/>
      <c r="G101" s="637"/>
      <c r="H101" s="78" t="str">
        <f>'Metrado General - Arcaya'!I1118</f>
        <v>und</v>
      </c>
      <c r="I101" s="118"/>
      <c r="J101" s="122"/>
      <c r="K101" s="122"/>
      <c r="L101" s="122"/>
      <c r="M101" s="122"/>
      <c r="N101" s="122"/>
      <c r="O101" s="122"/>
      <c r="P101" s="122"/>
      <c r="Q101" s="117"/>
      <c r="R101" s="527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17">
        <f>'Metrado General - Arcaya'!H1118</f>
        <v>6</v>
      </c>
      <c r="AD101" s="82"/>
      <c r="AE101" s="83"/>
      <c r="AF101" s="83"/>
      <c r="AG101" s="86"/>
    </row>
    <row r="102" spans="1:34" s="16" customFormat="1" ht="15.75" customHeight="1" x14ac:dyDescent="0.25">
      <c r="A102" s="64" t="str">
        <f>'Metrado General - Arcaya'!A1122</f>
        <v>1.02.06.14</v>
      </c>
      <c r="B102" s="635" t="str">
        <f>'Metrado General - Arcaya'!B1122</f>
        <v>Desmontaje de Parantes de madera   existente Manual</v>
      </c>
      <c r="C102" s="636"/>
      <c r="D102" s="636"/>
      <c r="E102" s="636"/>
      <c r="F102" s="636"/>
      <c r="G102" s="637"/>
      <c r="H102" s="78" t="str">
        <f>'Metrado General - Arcaya'!I1122</f>
        <v>und</v>
      </c>
      <c r="I102" s="118"/>
      <c r="J102" s="119"/>
      <c r="K102" s="120"/>
      <c r="L102" s="121"/>
      <c r="M102" s="122"/>
      <c r="N102" s="122"/>
      <c r="O102" s="123"/>
      <c r="P102" s="120"/>
      <c r="Q102" s="124"/>
      <c r="R102" s="125"/>
      <c r="S102" s="120"/>
      <c r="T102" s="121"/>
      <c r="U102" s="122"/>
      <c r="V102" s="123"/>
      <c r="W102" s="120"/>
      <c r="X102" s="121"/>
      <c r="Y102" s="123"/>
      <c r="Z102" s="120"/>
      <c r="AA102" s="121"/>
      <c r="AB102" s="121"/>
      <c r="AC102" s="117">
        <f>'Metrado General - Arcaya'!H1122</f>
        <v>8</v>
      </c>
      <c r="AD102" s="82"/>
      <c r="AE102" s="83"/>
      <c r="AF102" s="83"/>
      <c r="AG102" s="84"/>
      <c r="AH102" s="15"/>
    </row>
    <row r="103" spans="1:34" s="16" customFormat="1" ht="15.75" customHeight="1" x14ac:dyDescent="0.25">
      <c r="A103" s="64" t="str">
        <f>'Metrado General - Arcaya'!A1126</f>
        <v>1.02.06.15</v>
      </c>
      <c r="B103" s="635" t="str">
        <f>'Metrado General - Arcaya'!B1126</f>
        <v>Desmontaje de Tijerales Metalicos   existente Manual</v>
      </c>
      <c r="C103" s="636"/>
      <c r="D103" s="636"/>
      <c r="E103" s="636"/>
      <c r="F103" s="636"/>
      <c r="G103" s="637"/>
      <c r="H103" s="78" t="str">
        <f>'Metrado General - Arcaya'!I1126</f>
        <v>und</v>
      </c>
      <c r="I103" s="118"/>
      <c r="J103" s="119"/>
      <c r="K103" s="120"/>
      <c r="L103" s="121"/>
      <c r="M103" s="122"/>
      <c r="N103" s="122"/>
      <c r="O103" s="123"/>
      <c r="P103" s="120"/>
      <c r="Q103" s="124"/>
      <c r="R103" s="125"/>
      <c r="S103" s="120"/>
      <c r="T103" s="121"/>
      <c r="U103" s="122"/>
      <c r="V103" s="123"/>
      <c r="W103" s="120"/>
      <c r="X103" s="121"/>
      <c r="Y103" s="123"/>
      <c r="Z103" s="120"/>
      <c r="AA103" s="121"/>
      <c r="AB103" s="121"/>
      <c r="AC103" s="117">
        <f>'Metrado General - Arcaya'!H1126</f>
        <v>12</v>
      </c>
      <c r="AD103" s="82"/>
      <c r="AE103" s="83"/>
      <c r="AF103" s="83"/>
      <c r="AG103" s="84"/>
      <c r="AH103" s="15"/>
    </row>
    <row r="104" spans="1:34" s="16" customFormat="1" ht="15.75" customHeight="1" x14ac:dyDescent="0.25">
      <c r="A104" s="64" t="str">
        <f>'Metrado General - Arcaya'!A1133</f>
        <v>1.02.06.16</v>
      </c>
      <c r="B104" s="635" t="str">
        <f>'Metrado General - Arcaya'!B1133</f>
        <v>Transporte de material para montaje de Aulas Pre fabricadas de material termico</v>
      </c>
      <c r="C104" s="636"/>
      <c r="D104" s="636"/>
      <c r="E104" s="636"/>
      <c r="F104" s="636"/>
      <c r="G104" s="637"/>
      <c r="H104" s="78" t="str">
        <f>'Metrado General - Arcaya'!I1133</f>
        <v>m2</v>
      </c>
      <c r="I104" s="118"/>
      <c r="J104" s="119"/>
      <c r="K104" s="120"/>
      <c r="L104" s="121"/>
      <c r="M104" s="122"/>
      <c r="N104" s="122"/>
      <c r="O104" s="123"/>
      <c r="P104" s="120"/>
      <c r="Q104" s="124"/>
      <c r="R104" s="125"/>
      <c r="S104" s="120"/>
      <c r="T104" s="121"/>
      <c r="U104" s="122"/>
      <c r="V104" s="123"/>
      <c r="W104" s="120"/>
      <c r="X104" s="121"/>
      <c r="Y104" s="123"/>
      <c r="Z104" s="120"/>
      <c r="AA104" s="121"/>
      <c r="AB104" s="121"/>
      <c r="AC104" s="117">
        <f>'Metrado General - Arcaya'!H1133</f>
        <v>1386.2467999999999</v>
      </c>
      <c r="AD104" s="82"/>
      <c r="AE104" s="83"/>
      <c r="AF104" s="83"/>
      <c r="AG104" s="84"/>
      <c r="AH104" s="15"/>
    </row>
    <row r="105" spans="1:34" s="16" customFormat="1" x14ac:dyDescent="0.25">
      <c r="A105" s="104">
        <f>'Metrado General - Arcaya'!A1139</f>
        <v>1.03</v>
      </c>
      <c r="B105" s="106" t="str">
        <f>+'Metrado General - Arcaya'!B1139</f>
        <v xml:space="preserve">SEGURIDAD EN OBRA Y PLAN PARA LA VIGILANCIA, PREVENCION Y CONTROL DE LA COVID-19 </v>
      </c>
      <c r="C105" s="107"/>
      <c r="D105" s="107"/>
      <c r="E105" s="107"/>
      <c r="F105" s="107"/>
      <c r="G105" s="108"/>
      <c r="H105" s="138"/>
      <c r="I105" s="139"/>
      <c r="J105" s="140"/>
      <c r="K105" s="140"/>
      <c r="L105" s="140"/>
      <c r="M105" s="140"/>
      <c r="N105" s="140"/>
      <c r="O105" s="140"/>
      <c r="P105" s="140"/>
      <c r="Q105" s="138"/>
      <c r="R105" s="141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38"/>
      <c r="AD105" s="82"/>
      <c r="AE105" s="83"/>
      <c r="AF105" s="83"/>
      <c r="AG105" s="84"/>
      <c r="AH105" s="15"/>
    </row>
    <row r="106" spans="1:34" s="16" customFormat="1" x14ac:dyDescent="0.25">
      <c r="A106" s="109" t="str">
        <f>+'Metrado General - Arcaya'!A1140</f>
        <v>1.03.01</v>
      </c>
      <c r="B106" s="110" t="str">
        <f>+'Metrado General - Arcaya'!B1140</f>
        <v xml:space="preserve">SEGURIDAD EN OBRA </v>
      </c>
      <c r="C106" s="111"/>
      <c r="D106" s="111"/>
      <c r="E106" s="111"/>
      <c r="F106" s="111"/>
      <c r="G106" s="112"/>
      <c r="H106" s="134"/>
      <c r="I106" s="142"/>
      <c r="J106" s="136"/>
      <c r="K106" s="136"/>
      <c r="L106" s="136"/>
      <c r="M106" s="136"/>
      <c r="N106" s="136"/>
      <c r="O106" s="136"/>
      <c r="P106" s="136"/>
      <c r="Q106" s="134"/>
      <c r="R106" s="137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4"/>
      <c r="AD106" s="82"/>
      <c r="AE106" s="83"/>
      <c r="AF106" s="83"/>
      <c r="AG106" s="84"/>
      <c r="AH106" s="15"/>
    </row>
    <row r="107" spans="1:34" s="16" customFormat="1" ht="15.75" customHeight="1" x14ac:dyDescent="0.25">
      <c r="A107" s="64" t="str">
        <f>'Metrado General - Arcaya'!A1141</f>
        <v>1.03.01.01</v>
      </c>
      <c r="B107" s="635" t="str">
        <f>+'Metrado General - Arcaya'!B1141</f>
        <v>Equipo de proteccion colectiva</v>
      </c>
      <c r="C107" s="636"/>
      <c r="D107" s="636"/>
      <c r="E107" s="636"/>
      <c r="F107" s="636"/>
      <c r="G107" s="637"/>
      <c r="H107" s="78" t="str">
        <f>+'Metrado General - Arcaya'!I1141</f>
        <v>Glb</v>
      </c>
      <c r="I107" s="118">
        <f>+'Metrado General - Arcaya'!H1141</f>
        <v>1</v>
      </c>
      <c r="J107" s="119"/>
      <c r="K107" s="120"/>
      <c r="L107" s="121"/>
      <c r="M107" s="122"/>
      <c r="N107" s="122"/>
      <c r="O107" s="123"/>
      <c r="P107" s="120"/>
      <c r="Q107" s="124"/>
      <c r="R107" s="125"/>
      <c r="S107" s="120"/>
      <c r="T107" s="121"/>
      <c r="U107" s="122"/>
      <c r="V107" s="123"/>
      <c r="W107" s="120"/>
      <c r="X107" s="121"/>
      <c r="Y107" s="123"/>
      <c r="Z107" s="120"/>
      <c r="AA107" s="121"/>
      <c r="AB107" s="121"/>
      <c r="AC107" s="117">
        <f>'Metrado General - Arcaya'!H1141</f>
        <v>1</v>
      </c>
      <c r="AD107" s="82"/>
      <c r="AE107" s="83"/>
      <c r="AF107" s="83"/>
      <c r="AG107" s="84"/>
      <c r="AH107" s="15"/>
    </row>
    <row r="108" spans="1:34" s="16" customFormat="1" ht="15.75" customHeight="1" x14ac:dyDescent="0.25">
      <c r="A108" s="64" t="str">
        <f>'Metrado General - Arcaya'!A1145</f>
        <v>1.03.01.02</v>
      </c>
      <c r="B108" s="635" t="str">
        <f>+'Metrado General - Arcaya'!B1145</f>
        <v>Equipo de proteccion individual</v>
      </c>
      <c r="C108" s="636"/>
      <c r="D108" s="636"/>
      <c r="E108" s="636"/>
      <c r="F108" s="636"/>
      <c r="G108" s="637"/>
      <c r="H108" s="78" t="str">
        <f>+'Metrado General - Arcaya'!I1145</f>
        <v>Glb</v>
      </c>
      <c r="I108" s="118">
        <f>+'Metrado General - Arcaya'!H1145</f>
        <v>1</v>
      </c>
      <c r="J108" s="119"/>
      <c r="K108" s="120"/>
      <c r="L108" s="121"/>
      <c r="M108" s="122"/>
      <c r="N108" s="122"/>
      <c r="O108" s="123"/>
      <c r="P108" s="120"/>
      <c r="Q108" s="124"/>
      <c r="R108" s="125"/>
      <c r="S108" s="120"/>
      <c r="T108" s="121"/>
      <c r="U108" s="122"/>
      <c r="V108" s="123"/>
      <c r="W108" s="120"/>
      <c r="X108" s="121"/>
      <c r="Y108" s="123"/>
      <c r="Z108" s="120"/>
      <c r="AA108" s="121"/>
      <c r="AB108" s="121"/>
      <c r="AC108" s="117">
        <f>'Metrado General - Arcaya'!H1145</f>
        <v>1</v>
      </c>
      <c r="AD108" s="82"/>
      <c r="AE108" s="83"/>
      <c r="AF108" s="83"/>
      <c r="AG108" s="84"/>
      <c r="AH108" s="15"/>
    </row>
    <row r="109" spans="1:34" s="16" customFormat="1" ht="15.75" customHeight="1" x14ac:dyDescent="0.25">
      <c r="A109" s="64" t="str">
        <f>'Metrado General - Arcaya'!A1150</f>
        <v>1.03.01.03</v>
      </c>
      <c r="B109" s="635" t="str">
        <f>+'Metrado General - Arcaya'!B1150</f>
        <v>Señalización temporal en obra.</v>
      </c>
      <c r="C109" s="636"/>
      <c r="D109" s="636"/>
      <c r="E109" s="636"/>
      <c r="F109" s="636"/>
      <c r="G109" s="637"/>
      <c r="H109" s="78" t="str">
        <f>+'Metrado General - Arcaya'!I1150</f>
        <v>Glb</v>
      </c>
      <c r="I109" s="118">
        <f>+'Metrado General - Arcaya'!H1150</f>
        <v>1</v>
      </c>
      <c r="J109" s="119"/>
      <c r="K109" s="120"/>
      <c r="L109" s="121"/>
      <c r="M109" s="122"/>
      <c r="N109" s="122"/>
      <c r="O109" s="123"/>
      <c r="P109" s="120"/>
      <c r="Q109" s="124"/>
      <c r="R109" s="125"/>
      <c r="S109" s="120"/>
      <c r="T109" s="121"/>
      <c r="U109" s="122"/>
      <c r="V109" s="123"/>
      <c r="W109" s="120"/>
      <c r="X109" s="121"/>
      <c r="Y109" s="123"/>
      <c r="Z109" s="120"/>
      <c r="AA109" s="121"/>
      <c r="AB109" s="121"/>
      <c r="AC109" s="117">
        <f>'Metrado General - Arcaya'!H1150</f>
        <v>1</v>
      </c>
      <c r="AD109" s="82"/>
      <c r="AE109" s="83"/>
      <c r="AF109" s="83"/>
      <c r="AG109" s="84"/>
      <c r="AH109" s="15"/>
    </row>
    <row r="110" spans="1:34" s="16" customFormat="1" x14ac:dyDescent="0.25">
      <c r="A110" s="109" t="str">
        <f>+'Metrado General - Arcaya'!A1154</f>
        <v>1.03.02</v>
      </c>
      <c r="B110" s="517" t="str">
        <f>+'Metrado General - Arcaya'!B1154</f>
        <v>PLAN PARA LA PREVENCION Y CONTROL ANTE LA COVID-19 EN OBRA</v>
      </c>
      <c r="C110" s="518"/>
      <c r="D110" s="518"/>
      <c r="E110" s="518"/>
      <c r="F110" s="518"/>
      <c r="G110" s="519"/>
      <c r="H110" s="134"/>
      <c r="I110" s="142"/>
      <c r="J110" s="136"/>
      <c r="K110" s="136"/>
      <c r="L110" s="136"/>
      <c r="M110" s="136"/>
      <c r="N110" s="136"/>
      <c r="O110" s="136"/>
      <c r="P110" s="136"/>
      <c r="Q110" s="134"/>
      <c r="R110" s="137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4"/>
      <c r="AD110" s="82"/>
      <c r="AE110" s="83"/>
      <c r="AF110" s="83"/>
      <c r="AG110" s="84"/>
      <c r="AH110" s="15"/>
    </row>
    <row r="111" spans="1:34" s="16" customFormat="1" ht="15.75" customHeight="1" x14ac:dyDescent="0.25">
      <c r="A111" s="64" t="str">
        <f>'Metrado General - Arcaya'!A1155</f>
        <v>1.03.02.01</v>
      </c>
      <c r="B111" s="635" t="str">
        <f>+'Metrado General - Arcaya'!B1155</f>
        <v>Equipo de proteccion individual para personal de obra</v>
      </c>
      <c r="C111" s="636"/>
      <c r="D111" s="636"/>
      <c r="E111" s="636"/>
      <c r="F111" s="636"/>
      <c r="G111" s="637"/>
      <c r="H111" s="78" t="str">
        <f>+'Metrado General - Arcaya'!I1155</f>
        <v>Mes</v>
      </c>
      <c r="I111" s="118">
        <f>+'Metrado General - Arcaya'!H1155</f>
        <v>24</v>
      </c>
      <c r="J111" s="119"/>
      <c r="K111" s="120"/>
      <c r="L111" s="121"/>
      <c r="M111" s="122"/>
      <c r="N111" s="122"/>
      <c r="O111" s="123"/>
      <c r="P111" s="120"/>
      <c r="Q111" s="124"/>
      <c r="R111" s="125"/>
      <c r="S111" s="120"/>
      <c r="T111" s="121"/>
      <c r="U111" s="122"/>
      <c r="V111" s="123"/>
      <c r="W111" s="120"/>
      <c r="X111" s="121"/>
      <c r="Y111" s="123"/>
      <c r="Z111" s="120"/>
      <c r="AA111" s="121"/>
      <c r="AB111" s="121"/>
      <c r="AC111" s="117">
        <f>'Metrado General - Arcaya'!H1155</f>
        <v>24</v>
      </c>
      <c r="AD111" s="82"/>
      <c r="AE111" s="83"/>
      <c r="AF111" s="83"/>
      <c r="AG111" s="84"/>
      <c r="AH111" s="15"/>
    </row>
    <row r="112" spans="1:34" s="16" customFormat="1" ht="15.75" customHeight="1" x14ac:dyDescent="0.25">
      <c r="A112" s="64" t="str">
        <f>'Metrado General - Arcaya'!A1159</f>
        <v>1.03.02.02</v>
      </c>
      <c r="B112" s="635" t="str">
        <f>+'Metrado General - Arcaya'!B1159</f>
        <v>Equipo de proteccion individual para direccion de obra</v>
      </c>
      <c r="C112" s="636"/>
      <c r="D112" s="636"/>
      <c r="E112" s="636"/>
      <c r="F112" s="636"/>
      <c r="G112" s="637"/>
      <c r="H112" s="78" t="str">
        <f>+'Metrado General - Arcaya'!I1159</f>
        <v>Mes</v>
      </c>
      <c r="I112" s="118">
        <f>+'Metrado General - Arcaya'!H1159</f>
        <v>24</v>
      </c>
      <c r="J112" s="119"/>
      <c r="K112" s="120"/>
      <c r="L112" s="121"/>
      <c r="M112" s="122"/>
      <c r="N112" s="122"/>
      <c r="O112" s="123"/>
      <c r="P112" s="120"/>
      <c r="Q112" s="124"/>
      <c r="R112" s="125"/>
      <c r="S112" s="120"/>
      <c r="T112" s="121"/>
      <c r="U112" s="122"/>
      <c r="V112" s="123"/>
      <c r="W112" s="120"/>
      <c r="X112" s="121"/>
      <c r="Y112" s="123"/>
      <c r="Z112" s="120"/>
      <c r="AA112" s="121"/>
      <c r="AB112" s="121"/>
      <c r="AC112" s="117">
        <f>'Metrado General - Arcaya'!H1159</f>
        <v>24</v>
      </c>
      <c r="AD112" s="82"/>
      <c r="AE112" s="83"/>
      <c r="AF112" s="83"/>
      <c r="AG112" s="84"/>
      <c r="AH112" s="15"/>
    </row>
    <row r="113" spans="1:34" s="16" customFormat="1" ht="15.75" customHeight="1" x14ac:dyDescent="0.25">
      <c r="A113" s="64" t="str">
        <f>'Metrado General - Arcaya'!A1163</f>
        <v>1.03.02.03</v>
      </c>
      <c r="B113" s="635" t="str">
        <f>+'Metrado General - Arcaya'!B1163</f>
        <v>Equipo de proteccion individual para personal de salud</v>
      </c>
      <c r="C113" s="636"/>
      <c r="D113" s="636"/>
      <c r="E113" s="636"/>
      <c r="F113" s="636"/>
      <c r="G113" s="637"/>
      <c r="H113" s="78" t="str">
        <f>+'Metrado General - Arcaya'!I1163</f>
        <v>Mes</v>
      </c>
      <c r="I113" s="118">
        <f>+'Metrado General - Arcaya'!H1163</f>
        <v>24</v>
      </c>
      <c r="J113" s="119"/>
      <c r="K113" s="120"/>
      <c r="L113" s="121"/>
      <c r="M113" s="122"/>
      <c r="N113" s="122"/>
      <c r="O113" s="123"/>
      <c r="P113" s="120"/>
      <c r="Q113" s="124"/>
      <c r="R113" s="125"/>
      <c r="S113" s="120"/>
      <c r="T113" s="121"/>
      <c r="U113" s="122"/>
      <c r="V113" s="123"/>
      <c r="W113" s="120"/>
      <c r="X113" s="121"/>
      <c r="Y113" s="123"/>
      <c r="Z113" s="120"/>
      <c r="AA113" s="121"/>
      <c r="AB113" s="121"/>
      <c r="AC113" s="117">
        <f>'Metrado General - Arcaya'!H1163</f>
        <v>24</v>
      </c>
      <c r="AD113" s="82"/>
      <c r="AE113" s="83"/>
      <c r="AF113" s="83"/>
      <c r="AG113" s="84"/>
      <c r="AH113" s="15"/>
    </row>
    <row r="114" spans="1:34" s="16" customFormat="1" ht="15.75" customHeight="1" x14ac:dyDescent="0.25">
      <c r="A114" s="64" t="str">
        <f>'Metrado General - Arcaya'!A1167</f>
        <v>1.03.02.04</v>
      </c>
      <c r="B114" s="635" t="str">
        <f>+'Metrado General - Arcaya'!B1167</f>
        <v>Identificación de sintomatología covid-19 periódicamente al ingreso de Obra</v>
      </c>
      <c r="C114" s="636"/>
      <c r="D114" s="636"/>
      <c r="E114" s="636"/>
      <c r="F114" s="636"/>
      <c r="G114" s="637"/>
      <c r="H114" s="78" t="str">
        <f>+'Metrado General - Arcaya'!I1167</f>
        <v>Glb</v>
      </c>
      <c r="I114" s="118">
        <f>+'Metrado General - Arcaya'!H1167</f>
        <v>1</v>
      </c>
      <c r="J114" s="119"/>
      <c r="K114" s="120"/>
      <c r="L114" s="121"/>
      <c r="M114" s="122"/>
      <c r="N114" s="122"/>
      <c r="O114" s="123"/>
      <c r="P114" s="120"/>
      <c r="Q114" s="124"/>
      <c r="R114" s="125"/>
      <c r="S114" s="120"/>
      <c r="T114" s="121"/>
      <c r="U114" s="122"/>
      <c r="V114" s="123"/>
      <c r="W114" s="120"/>
      <c r="X114" s="121"/>
      <c r="Y114" s="123"/>
      <c r="Z114" s="120"/>
      <c r="AA114" s="121"/>
      <c r="AB114" s="121"/>
      <c r="AC114" s="117">
        <f>'Metrado General - Arcaya'!H1167</f>
        <v>1</v>
      </c>
      <c r="AD114" s="82"/>
      <c r="AE114" s="83"/>
      <c r="AF114" s="83"/>
      <c r="AG114" s="84"/>
      <c r="AH114" s="15"/>
    </row>
    <row r="115" spans="1:34" s="16" customFormat="1" ht="15.75" customHeight="1" x14ac:dyDescent="0.25">
      <c r="A115" s="64" t="str">
        <f>'Metrado General - Arcaya'!A1171</f>
        <v>1.03.02.05</v>
      </c>
      <c r="B115" s="635" t="str">
        <f>+'Metrado General - Arcaya'!B1171</f>
        <v>kit para lavado y desinfeccion de personal</v>
      </c>
      <c r="C115" s="636"/>
      <c r="D115" s="636"/>
      <c r="E115" s="636"/>
      <c r="F115" s="636"/>
      <c r="G115" s="637"/>
      <c r="H115" s="78" t="str">
        <f>+'Metrado General - Arcaya'!I1171</f>
        <v>Mes</v>
      </c>
      <c r="I115" s="118">
        <f>+'Metrado General - Arcaya'!H1171</f>
        <v>24</v>
      </c>
      <c r="J115" s="119"/>
      <c r="K115" s="120"/>
      <c r="L115" s="121"/>
      <c r="M115" s="122"/>
      <c r="N115" s="122"/>
      <c r="O115" s="123"/>
      <c r="P115" s="120"/>
      <c r="Q115" s="124"/>
      <c r="R115" s="125"/>
      <c r="S115" s="120"/>
      <c r="T115" s="121"/>
      <c r="U115" s="122"/>
      <c r="V115" s="123"/>
      <c r="W115" s="120"/>
      <c r="X115" s="121"/>
      <c r="Y115" s="123"/>
      <c r="Z115" s="120"/>
      <c r="AA115" s="121"/>
      <c r="AB115" s="121"/>
      <c r="AC115" s="117">
        <f>'Metrado General - Arcaya'!H1171</f>
        <v>24</v>
      </c>
      <c r="AD115" s="82"/>
      <c r="AE115" s="83"/>
      <c r="AF115" s="83"/>
      <c r="AG115" s="84"/>
      <c r="AH115" s="15"/>
    </row>
    <row r="116" spans="1:34" s="16" customFormat="1" ht="15.75" customHeight="1" x14ac:dyDescent="0.25">
      <c r="A116" s="64" t="str">
        <f>'Metrado General - Arcaya'!A1175</f>
        <v>1.03.02.06</v>
      </c>
      <c r="B116" s="635" t="str">
        <f>+'Metrado General - Arcaya'!B1175</f>
        <v xml:space="preserve">Equipamiento para vigilancia de la salud del trabajador </v>
      </c>
      <c r="C116" s="636"/>
      <c r="D116" s="636"/>
      <c r="E116" s="636"/>
      <c r="F116" s="636"/>
      <c r="G116" s="637"/>
      <c r="H116" s="78" t="str">
        <f>+'Metrado General - Arcaya'!I1175</f>
        <v>Glb</v>
      </c>
      <c r="I116" s="118">
        <f>+'Metrado General - Arcaya'!H1175</f>
        <v>1</v>
      </c>
      <c r="J116" s="119"/>
      <c r="K116" s="120"/>
      <c r="L116" s="121"/>
      <c r="M116" s="122"/>
      <c r="N116" s="122"/>
      <c r="O116" s="123"/>
      <c r="P116" s="120"/>
      <c r="Q116" s="124"/>
      <c r="R116" s="125"/>
      <c r="S116" s="120"/>
      <c r="T116" s="121"/>
      <c r="U116" s="122"/>
      <c r="V116" s="123"/>
      <c r="W116" s="120"/>
      <c r="X116" s="121"/>
      <c r="Y116" s="123"/>
      <c r="Z116" s="120"/>
      <c r="AA116" s="121"/>
      <c r="AB116" s="121"/>
      <c r="AC116" s="117">
        <f>'Metrado General - Arcaya'!H1175</f>
        <v>1</v>
      </c>
      <c r="AD116" s="82"/>
      <c r="AE116" s="83"/>
      <c r="AF116" s="83"/>
      <c r="AG116" s="84"/>
      <c r="AH116" s="15"/>
    </row>
    <row r="117" spans="1:34" s="16" customFormat="1" ht="15.75" customHeight="1" x14ac:dyDescent="0.25">
      <c r="A117" s="64" t="str">
        <f>'Metrado General - Arcaya'!A1179</f>
        <v>1.03.02.07</v>
      </c>
      <c r="B117" s="635" t="str">
        <f>+'Metrado General - Arcaya'!B1179</f>
        <v>Equipamiento para desinfección de áreas comunes</v>
      </c>
      <c r="C117" s="636"/>
      <c r="D117" s="636"/>
      <c r="E117" s="636"/>
      <c r="F117" s="636"/>
      <c r="G117" s="637"/>
      <c r="H117" s="78" t="str">
        <f>+'Metrado General - Arcaya'!I1179</f>
        <v>Glb</v>
      </c>
      <c r="I117" s="118">
        <f>+'Metrado General - Arcaya'!H1179</f>
        <v>1</v>
      </c>
      <c r="J117" s="119"/>
      <c r="K117" s="120"/>
      <c r="L117" s="121"/>
      <c r="M117" s="122"/>
      <c r="N117" s="122"/>
      <c r="O117" s="123"/>
      <c r="P117" s="120"/>
      <c r="Q117" s="124"/>
      <c r="R117" s="125"/>
      <c r="S117" s="120"/>
      <c r="T117" s="121"/>
      <c r="U117" s="122"/>
      <c r="V117" s="123"/>
      <c r="W117" s="120"/>
      <c r="X117" s="121"/>
      <c r="Y117" s="123"/>
      <c r="Z117" s="120"/>
      <c r="AA117" s="121"/>
      <c r="AB117" s="121"/>
      <c r="AC117" s="117">
        <f>'Metrado General - Arcaya'!H1179</f>
        <v>1</v>
      </c>
      <c r="AD117" s="82"/>
      <c r="AE117" s="83"/>
      <c r="AF117" s="83"/>
      <c r="AG117" s="84"/>
      <c r="AH117" s="15"/>
    </row>
    <row r="118" spans="1:34" s="16" customFormat="1" ht="15.75" customHeight="1" x14ac:dyDescent="0.25">
      <c r="A118" s="64" t="str">
        <f>'Metrado General - Arcaya'!A1183</f>
        <v>1.03.02.08</v>
      </c>
      <c r="B118" s="635" t="str">
        <f>+'Metrado General - Arcaya'!B1183</f>
        <v xml:space="preserve">Implementacion de area de triaje (control previo) </v>
      </c>
      <c r="C118" s="636"/>
      <c r="D118" s="636"/>
      <c r="E118" s="636"/>
      <c r="F118" s="636"/>
      <c r="G118" s="637"/>
      <c r="H118" s="78" t="str">
        <f>+'Metrado General - Arcaya'!I1183</f>
        <v>Glb</v>
      </c>
      <c r="I118" s="118">
        <f>+'Metrado General - Arcaya'!H1183</f>
        <v>1</v>
      </c>
      <c r="J118" s="119"/>
      <c r="K118" s="120"/>
      <c r="L118" s="121"/>
      <c r="M118" s="122"/>
      <c r="N118" s="122"/>
      <c r="O118" s="123"/>
      <c r="P118" s="120"/>
      <c r="Q118" s="124"/>
      <c r="R118" s="125"/>
      <c r="S118" s="120"/>
      <c r="T118" s="121"/>
      <c r="U118" s="122"/>
      <c r="V118" s="123"/>
      <c r="W118" s="120"/>
      <c r="X118" s="121"/>
      <c r="Y118" s="123"/>
      <c r="Z118" s="120"/>
      <c r="AA118" s="121"/>
      <c r="AB118" s="121"/>
      <c r="AC118" s="117">
        <f>'Metrado General - Arcaya'!H1183</f>
        <v>1</v>
      </c>
      <c r="AD118" s="82"/>
      <c r="AE118" s="83"/>
      <c r="AF118" s="83"/>
      <c r="AG118" s="84"/>
      <c r="AH118" s="15"/>
    </row>
    <row r="119" spans="1:34" s="16" customFormat="1" x14ac:dyDescent="0.25">
      <c r="A119" s="113">
        <f>'Metrado General - Arcaya'!A1188</f>
        <v>1.04</v>
      </c>
      <c r="B119" s="114" t="str">
        <f>+'Metrado General - Arcaya'!B1188</f>
        <v>PLAN DE CONTINGENCIA</v>
      </c>
      <c r="C119" s="115"/>
      <c r="D119" s="115"/>
      <c r="E119" s="115"/>
      <c r="F119" s="115"/>
      <c r="G119" s="116"/>
      <c r="H119" s="143"/>
      <c r="I119" s="144"/>
      <c r="J119" s="145"/>
      <c r="K119" s="145"/>
      <c r="L119" s="145"/>
      <c r="M119" s="145"/>
      <c r="N119" s="145"/>
      <c r="O119" s="145"/>
      <c r="P119" s="145"/>
      <c r="Q119" s="143"/>
      <c r="R119" s="146"/>
      <c r="S119" s="145"/>
      <c r="T119" s="145"/>
      <c r="U119" s="145"/>
      <c r="V119" s="145"/>
      <c r="W119" s="145"/>
      <c r="X119" s="145"/>
      <c r="Y119" s="145"/>
      <c r="Z119" s="145"/>
      <c r="AA119" s="145"/>
      <c r="AB119" s="145"/>
      <c r="AC119" s="143"/>
      <c r="AD119" s="82"/>
      <c r="AE119" s="83"/>
      <c r="AF119" s="83"/>
      <c r="AG119" s="84"/>
      <c r="AH119" s="15"/>
    </row>
    <row r="120" spans="1:34" s="16" customFormat="1" ht="15.75" customHeight="1" x14ac:dyDescent="0.25">
      <c r="A120" s="64" t="str">
        <f>'Metrado General - Arcaya'!A1189</f>
        <v>1.04.01</v>
      </c>
      <c r="B120" s="635" t="str">
        <f>+'Metrado General - Arcaya'!B1189</f>
        <v>Trazo, Nivelacion Y Replanteo</v>
      </c>
      <c r="C120" s="636"/>
      <c r="D120" s="636"/>
      <c r="E120" s="636"/>
      <c r="F120" s="636"/>
      <c r="G120" s="637"/>
      <c r="H120" s="78" t="str">
        <f>+'Metrado General - Arcaya'!I1189</f>
        <v>m2</v>
      </c>
      <c r="I120" s="118">
        <f>+'Metrado General - Arcaya'!H1189</f>
        <v>3005.88</v>
      </c>
      <c r="J120" s="119">
        <f>+'Metrado General - Arcaya'!H1191</f>
        <v>0</v>
      </c>
      <c r="K120" s="120"/>
      <c r="L120" s="121"/>
      <c r="M120" s="122"/>
      <c r="N120" s="122"/>
      <c r="O120" s="123"/>
      <c r="P120" s="120"/>
      <c r="Q120" s="124"/>
      <c r="R120" s="125"/>
      <c r="S120" s="120"/>
      <c r="T120" s="121"/>
      <c r="U120" s="122"/>
      <c r="V120" s="123"/>
      <c r="W120" s="120"/>
      <c r="X120" s="121"/>
      <c r="Y120" s="123"/>
      <c r="Z120" s="120"/>
      <c r="AA120" s="121"/>
      <c r="AB120" s="121"/>
      <c r="AC120" s="117">
        <f>'Metrado General - Arcaya'!H1189</f>
        <v>3005.88</v>
      </c>
      <c r="AD120" s="82"/>
      <c r="AE120" s="83"/>
      <c r="AF120" s="83"/>
      <c r="AG120" s="84"/>
      <c r="AH120" s="15"/>
    </row>
    <row r="121" spans="1:34" s="16" customFormat="1" ht="15.75" customHeight="1" x14ac:dyDescent="0.25">
      <c r="A121" s="64" t="str">
        <f>'Metrado General - Arcaya'!A1194</f>
        <v>1.04.02</v>
      </c>
      <c r="B121" s="635" t="str">
        <f>+'Metrado General - Arcaya'!B1194</f>
        <v>Corte de Terreno Natural con Maquinaria</v>
      </c>
      <c r="C121" s="636"/>
      <c r="D121" s="636"/>
      <c r="E121" s="636"/>
      <c r="F121" s="636"/>
      <c r="G121" s="637"/>
      <c r="H121" s="78" t="str">
        <f>+'Metrado General - Arcaya'!I1194</f>
        <v>m3</v>
      </c>
      <c r="I121" s="118">
        <f>+'Metrado General - Arcaya'!H1194</f>
        <v>784.101</v>
      </c>
      <c r="J121" s="119">
        <f>+'Metrado General - Arcaya'!H1196</f>
        <v>784.101</v>
      </c>
      <c r="K121" s="120"/>
      <c r="L121" s="121"/>
      <c r="M121" s="122"/>
      <c r="N121" s="122"/>
      <c r="O121" s="123"/>
      <c r="P121" s="120"/>
      <c r="Q121" s="124"/>
      <c r="R121" s="125"/>
      <c r="S121" s="120"/>
      <c r="T121" s="121"/>
      <c r="U121" s="122"/>
      <c r="V121" s="123"/>
      <c r="W121" s="120"/>
      <c r="X121" s="121"/>
      <c r="Y121" s="123"/>
      <c r="Z121" s="120"/>
      <c r="AA121" s="121"/>
      <c r="AB121" s="121"/>
      <c r="AC121" s="117">
        <f>'Metrado General - Arcaya'!H1194</f>
        <v>784.101</v>
      </c>
      <c r="AD121" s="82"/>
      <c r="AE121" s="83"/>
      <c r="AF121" s="83"/>
      <c r="AG121" s="84"/>
      <c r="AH121" s="15"/>
    </row>
    <row r="122" spans="1:34" s="16" customFormat="1" ht="15.75" customHeight="1" x14ac:dyDescent="0.25">
      <c r="A122" s="64" t="str">
        <f>'Metrado General - Arcaya'!A1198</f>
        <v>1.04.03</v>
      </c>
      <c r="B122" s="635" t="str">
        <f>+'Metrado General - Arcaya'!B1198</f>
        <v>Capa de Material de Prestamo - Hormigon e= 0.15m Con Equipo  Pesado</v>
      </c>
      <c r="C122" s="636"/>
      <c r="D122" s="636"/>
      <c r="E122" s="636"/>
      <c r="F122" s="636"/>
      <c r="G122" s="637"/>
      <c r="H122" s="78" t="str">
        <f>+'Metrado General - Arcaya'!I1198</f>
        <v>m2</v>
      </c>
      <c r="I122" s="118">
        <f t="shared" ref="I122:I133" si="0">SUM(J122:AI122)</f>
        <v>3005.88</v>
      </c>
      <c r="J122" s="119">
        <f>+'Metrado General - Arcaya'!H1200</f>
        <v>0</v>
      </c>
      <c r="K122" s="120"/>
      <c r="L122" s="121"/>
      <c r="M122" s="122"/>
      <c r="N122" s="122"/>
      <c r="O122" s="123"/>
      <c r="P122" s="120"/>
      <c r="Q122" s="124"/>
      <c r="R122" s="125"/>
      <c r="S122" s="120"/>
      <c r="T122" s="121"/>
      <c r="U122" s="122"/>
      <c r="V122" s="123"/>
      <c r="W122" s="120"/>
      <c r="X122" s="121"/>
      <c r="Y122" s="123"/>
      <c r="Z122" s="120"/>
      <c r="AA122" s="121"/>
      <c r="AB122" s="121"/>
      <c r="AC122" s="117">
        <f>'Metrado General - Arcaya'!H1198</f>
        <v>3005.88</v>
      </c>
      <c r="AD122" s="82"/>
      <c r="AE122" s="83"/>
      <c r="AF122" s="83"/>
      <c r="AG122" s="84"/>
      <c r="AH122" s="15"/>
    </row>
    <row r="123" spans="1:34" s="16" customFormat="1" ht="15.75" customHeight="1" x14ac:dyDescent="0.25">
      <c r="A123" s="64" t="str">
        <f>'Metrado General - Arcaya'!A1203</f>
        <v>1.04.04</v>
      </c>
      <c r="B123" s="635" t="str">
        <f>+'Metrado General - Arcaya'!B1203</f>
        <v>Suministro e instalación de Paneles de  Triplay de 1.20x2.40 DE 4mm</v>
      </c>
      <c r="C123" s="636"/>
      <c r="D123" s="636"/>
      <c r="E123" s="636"/>
      <c r="F123" s="636"/>
      <c r="G123" s="637"/>
      <c r="H123" s="78" t="str">
        <f>+'Metrado General - Arcaya'!I1203</f>
        <v>m2</v>
      </c>
      <c r="I123" s="118">
        <f t="shared" si="0"/>
        <v>2882.4938000000016</v>
      </c>
      <c r="J123" s="119">
        <f>+'Metrado General - Arcaya'!H1205</f>
        <v>139.94399999999999</v>
      </c>
      <c r="K123" s="120"/>
      <c r="L123" s="121"/>
      <c r="M123" s="122"/>
      <c r="N123" s="122"/>
      <c r="O123" s="123"/>
      <c r="P123" s="120"/>
      <c r="Q123" s="124"/>
      <c r="R123" s="125"/>
      <c r="S123" s="120"/>
      <c r="T123" s="121"/>
      <c r="U123" s="122"/>
      <c r="V123" s="123"/>
      <c r="W123" s="120"/>
      <c r="X123" s="121"/>
      <c r="Y123" s="123"/>
      <c r="Z123" s="120"/>
      <c r="AA123" s="121"/>
      <c r="AB123" s="121"/>
      <c r="AC123" s="117">
        <f>'Metrado General - Arcaya'!H1203</f>
        <v>2742.5498000000016</v>
      </c>
      <c r="AD123" s="82"/>
      <c r="AE123" s="83"/>
      <c r="AF123" s="83"/>
      <c r="AG123" s="84"/>
      <c r="AH123" s="15"/>
    </row>
    <row r="124" spans="1:34" s="16" customFormat="1" ht="15.75" customHeight="1" x14ac:dyDescent="0.25">
      <c r="A124" s="64" t="str">
        <f>'Metrado General - Arcaya'!A1274</f>
        <v>1.04.05</v>
      </c>
      <c r="B124" s="635" t="str">
        <f>'Metrado General - Arcaya'!B1274</f>
        <v>Suministro e instalación de Paneles de  Fibro cemento Tipo ST  de 6mm</v>
      </c>
      <c r="C124" s="636"/>
      <c r="D124" s="636"/>
      <c r="E124" s="636"/>
      <c r="F124" s="636"/>
      <c r="G124" s="637"/>
      <c r="H124" s="78" t="str">
        <f>'Metrado General - Arcaya'!I1274</f>
        <v>m2</v>
      </c>
      <c r="I124" s="118"/>
      <c r="J124" s="119"/>
      <c r="K124" s="120"/>
      <c r="L124" s="121"/>
      <c r="M124" s="122"/>
      <c r="N124" s="122"/>
      <c r="O124" s="123"/>
      <c r="P124" s="120"/>
      <c r="Q124" s="124"/>
      <c r="R124" s="125"/>
      <c r="S124" s="120"/>
      <c r="T124" s="121"/>
      <c r="U124" s="122"/>
      <c r="V124" s="123"/>
      <c r="W124" s="120"/>
      <c r="X124" s="121"/>
      <c r="Y124" s="123"/>
      <c r="Z124" s="120"/>
      <c r="AA124" s="121"/>
      <c r="AB124" s="121"/>
      <c r="AC124" s="117">
        <f>'Metrado General - Arcaya'!H1274</f>
        <v>346.20479999999998</v>
      </c>
      <c r="AD124" s="82"/>
      <c r="AE124" s="83"/>
      <c r="AF124" s="83"/>
      <c r="AG124" s="84"/>
      <c r="AH124" s="15"/>
    </row>
    <row r="125" spans="1:34" s="16" customFormat="1" ht="15.75" customHeight="1" x14ac:dyDescent="0.25">
      <c r="A125" s="64" t="str">
        <f>'Metrado General - Arcaya'!A1299</f>
        <v>1.04.06</v>
      </c>
      <c r="B125" s="635" t="str">
        <f>'Metrado General - Arcaya'!B1299</f>
        <v>Suministro e instalación de Columnas de Madera de 4" x 4"</v>
      </c>
      <c r="C125" s="636"/>
      <c r="D125" s="636"/>
      <c r="E125" s="636"/>
      <c r="F125" s="636"/>
      <c r="G125" s="637"/>
      <c r="H125" s="78" t="str">
        <f>'Metrado General - Arcaya'!I1299</f>
        <v>m</v>
      </c>
      <c r="I125" s="118"/>
      <c r="J125" s="119"/>
      <c r="K125" s="120"/>
      <c r="L125" s="121"/>
      <c r="M125" s="122"/>
      <c r="N125" s="122"/>
      <c r="O125" s="123"/>
      <c r="P125" s="120"/>
      <c r="Q125" s="124"/>
      <c r="R125" s="125"/>
      <c r="S125" s="120"/>
      <c r="T125" s="121"/>
      <c r="U125" s="122"/>
      <c r="V125" s="123"/>
      <c r="W125" s="120"/>
      <c r="X125" s="121"/>
      <c r="Y125" s="123"/>
      <c r="Z125" s="120"/>
      <c r="AA125" s="121"/>
      <c r="AB125" s="121"/>
      <c r="AC125" s="117">
        <f>'Metrado General - Arcaya'!H1299</f>
        <v>855.09000000000015</v>
      </c>
      <c r="AD125" s="82"/>
      <c r="AE125" s="83"/>
      <c r="AF125" s="83"/>
      <c r="AG125" s="84"/>
      <c r="AH125" s="15"/>
    </row>
    <row r="126" spans="1:34" s="16" customFormat="1" ht="15.75" customHeight="1" x14ac:dyDescent="0.25">
      <c r="A126" s="64" t="str">
        <f>'Metrado General - Arcaya'!A1313</f>
        <v>1.04.07</v>
      </c>
      <c r="B126" s="635" t="str">
        <f>+'Metrado General - Arcaya'!B1313</f>
        <v>Suministro e instalación de Vigas de Madera de 2" x 4"</v>
      </c>
      <c r="C126" s="636"/>
      <c r="D126" s="636"/>
      <c r="E126" s="636"/>
      <c r="F126" s="636"/>
      <c r="G126" s="637"/>
      <c r="H126" s="78" t="str">
        <f>+'Metrado General - Arcaya'!I1313</f>
        <v>m</v>
      </c>
      <c r="I126" s="118">
        <f t="shared" si="0"/>
        <v>1185.1999999999998</v>
      </c>
      <c r="J126" s="119">
        <f>+'Metrado General - Arcaya'!H1315</f>
        <v>83.3</v>
      </c>
      <c r="K126" s="120"/>
      <c r="L126" s="121"/>
      <c r="M126" s="122"/>
      <c r="N126" s="122"/>
      <c r="O126" s="123"/>
      <c r="P126" s="120"/>
      <c r="Q126" s="124"/>
      <c r="R126" s="125"/>
      <c r="S126" s="120"/>
      <c r="T126" s="121"/>
      <c r="U126" s="122"/>
      <c r="V126" s="123"/>
      <c r="W126" s="120"/>
      <c r="X126" s="121"/>
      <c r="Y126" s="123"/>
      <c r="Z126" s="120"/>
      <c r="AA126" s="121"/>
      <c r="AB126" s="121"/>
      <c r="AC126" s="117">
        <f>'Metrado General - Arcaya'!H1313</f>
        <v>1101.8999999999999</v>
      </c>
      <c r="AD126" s="82"/>
      <c r="AE126" s="83"/>
      <c r="AF126" s="83"/>
      <c r="AG126" s="84"/>
      <c r="AH126" s="15"/>
    </row>
    <row r="127" spans="1:34" s="16" customFormat="1" ht="15.75" customHeight="1" x14ac:dyDescent="0.25">
      <c r="A127" s="64" t="str">
        <f>'Metrado General - Arcaya'!A1327</f>
        <v>1.04.08</v>
      </c>
      <c r="B127" s="635" t="str">
        <f>+'Metrado General - Arcaya'!B1327</f>
        <v>Puertas de Triplay y marco de madera(1.00X2.10) inc. Cerrojo y Candado</v>
      </c>
      <c r="C127" s="636"/>
      <c r="D127" s="636"/>
      <c r="E127" s="636"/>
      <c r="F127" s="636"/>
      <c r="G127" s="637"/>
      <c r="H127" s="78" t="str">
        <f>+'Metrado General - Arcaya'!I1327</f>
        <v>und</v>
      </c>
      <c r="I127" s="118">
        <f t="shared" si="0"/>
        <v>90</v>
      </c>
      <c r="J127" s="119">
        <f>+'Metrado General - Arcaya'!H1329</f>
        <v>45</v>
      </c>
      <c r="K127" s="120"/>
      <c r="L127" s="121"/>
      <c r="M127" s="122"/>
      <c r="N127" s="122"/>
      <c r="O127" s="123"/>
      <c r="P127" s="120"/>
      <c r="Q127" s="124"/>
      <c r="R127" s="125"/>
      <c r="S127" s="120"/>
      <c r="T127" s="121"/>
      <c r="U127" s="122"/>
      <c r="V127" s="123"/>
      <c r="W127" s="120"/>
      <c r="X127" s="121"/>
      <c r="Y127" s="123"/>
      <c r="Z127" s="120"/>
      <c r="AA127" s="121"/>
      <c r="AB127" s="121"/>
      <c r="AC127" s="117">
        <f>'Metrado General - Arcaya'!H1327</f>
        <v>45</v>
      </c>
      <c r="AD127" s="82"/>
      <c r="AE127" s="83"/>
      <c r="AF127" s="83"/>
      <c r="AG127" s="84"/>
      <c r="AH127" s="15"/>
    </row>
    <row r="128" spans="1:34" s="16" customFormat="1" ht="15.75" customHeight="1" x14ac:dyDescent="0.25">
      <c r="A128" s="64" t="str">
        <f>'Metrado General - Arcaya'!A1331</f>
        <v>1.04.09</v>
      </c>
      <c r="B128" s="635" t="str">
        <f>'Metrado General - Arcaya'!B1331</f>
        <v>Puertas de Triplay y marco de madera(0.90X2.10) inc. Cerrojo y Candado</v>
      </c>
      <c r="C128" s="636"/>
      <c r="D128" s="636"/>
      <c r="E128" s="636"/>
      <c r="F128" s="636"/>
      <c r="G128" s="637"/>
      <c r="H128" s="78" t="str">
        <f>'Metrado General - Arcaya'!I1331</f>
        <v>und</v>
      </c>
      <c r="I128" s="118"/>
      <c r="J128" s="119"/>
      <c r="K128" s="120"/>
      <c r="L128" s="121"/>
      <c r="M128" s="122"/>
      <c r="N128" s="122"/>
      <c r="O128" s="123"/>
      <c r="P128" s="120"/>
      <c r="Q128" s="124"/>
      <c r="R128" s="125"/>
      <c r="S128" s="120"/>
      <c r="T128" s="121"/>
      <c r="U128" s="122"/>
      <c r="V128" s="123"/>
      <c r="W128" s="120"/>
      <c r="X128" s="121"/>
      <c r="Y128" s="123"/>
      <c r="Z128" s="120"/>
      <c r="AA128" s="121"/>
      <c r="AB128" s="121"/>
      <c r="AC128" s="117">
        <f>'Metrado General - Arcaya'!H1331</f>
        <v>8</v>
      </c>
      <c r="AD128" s="82"/>
      <c r="AE128" s="83"/>
      <c r="AF128" s="83"/>
      <c r="AG128" s="84"/>
      <c r="AH128" s="15"/>
    </row>
    <row r="129" spans="1:34" s="16" customFormat="1" ht="15.75" customHeight="1" x14ac:dyDescent="0.25">
      <c r="A129" s="64" t="str">
        <f>'Metrado General - Arcaya'!A1335</f>
        <v>1.04.10</v>
      </c>
      <c r="B129" s="635" t="str">
        <f>'Metrado General - Arcaya'!B1335</f>
        <v>Puertas de Triplay y marco de madera(0.60X2.10) inc. Cerrojo y Candado</v>
      </c>
      <c r="C129" s="636"/>
      <c r="D129" s="636"/>
      <c r="E129" s="636"/>
      <c r="F129" s="636"/>
      <c r="G129" s="637"/>
      <c r="H129" s="78" t="str">
        <f>'Metrado General - Arcaya'!I1335</f>
        <v>und</v>
      </c>
      <c r="I129" s="118"/>
      <c r="J129" s="119"/>
      <c r="K129" s="120"/>
      <c r="L129" s="121"/>
      <c r="M129" s="122"/>
      <c r="N129" s="122"/>
      <c r="O129" s="123"/>
      <c r="P129" s="120"/>
      <c r="Q129" s="124"/>
      <c r="R129" s="125"/>
      <c r="S129" s="120"/>
      <c r="T129" s="121"/>
      <c r="U129" s="122"/>
      <c r="V129" s="123"/>
      <c r="W129" s="120"/>
      <c r="X129" s="121"/>
      <c r="Y129" s="123"/>
      <c r="Z129" s="120"/>
      <c r="AA129" s="121"/>
      <c r="AB129" s="121"/>
      <c r="AC129" s="117">
        <f>'Metrado General - Arcaya'!H1335</f>
        <v>16</v>
      </c>
      <c r="AD129" s="82"/>
      <c r="AE129" s="83"/>
      <c r="AF129" s="83"/>
      <c r="AG129" s="84"/>
      <c r="AH129" s="15"/>
    </row>
    <row r="130" spans="1:34" s="16" customFormat="1" ht="15.75" customHeight="1" x14ac:dyDescent="0.25">
      <c r="A130" s="64" t="str">
        <f>'Metrado General - Arcaya'!A1339</f>
        <v>1.04.11</v>
      </c>
      <c r="B130" s="635" t="str">
        <f>+'Metrado General - Arcaya'!B1339</f>
        <v>Suministro y colocación de bisagras de 4" en Puertas</v>
      </c>
      <c r="C130" s="636"/>
      <c r="D130" s="636"/>
      <c r="E130" s="636"/>
      <c r="F130" s="636"/>
      <c r="G130" s="637"/>
      <c r="H130" s="78" t="str">
        <f>+'Metrado General - Arcaya'!I1339</f>
        <v>und</v>
      </c>
      <c r="I130" s="118">
        <f t="shared" si="0"/>
        <v>330</v>
      </c>
      <c r="J130" s="119">
        <f>+'Metrado General - Arcaya'!H1341</f>
        <v>135</v>
      </c>
      <c r="K130" s="120"/>
      <c r="L130" s="121"/>
      <c r="M130" s="122"/>
      <c r="N130" s="122"/>
      <c r="O130" s="123"/>
      <c r="P130" s="120"/>
      <c r="Q130" s="124"/>
      <c r="R130" s="125"/>
      <c r="S130" s="120"/>
      <c r="T130" s="121"/>
      <c r="U130" s="122"/>
      <c r="V130" s="123"/>
      <c r="W130" s="120"/>
      <c r="X130" s="121"/>
      <c r="Y130" s="123"/>
      <c r="Z130" s="120"/>
      <c r="AA130" s="121"/>
      <c r="AB130" s="121"/>
      <c r="AC130" s="117">
        <f>'Metrado General - Arcaya'!H1339</f>
        <v>195</v>
      </c>
      <c r="AD130" s="82"/>
      <c r="AE130" s="83"/>
      <c r="AF130" s="83"/>
      <c r="AG130" s="84"/>
      <c r="AH130" s="15"/>
    </row>
    <row r="131" spans="1:34" s="16" customFormat="1" ht="15.75" customHeight="1" x14ac:dyDescent="0.25">
      <c r="A131" s="64" t="str">
        <f>'Metrado General - Arcaya'!A1345</f>
        <v>1.04.12</v>
      </c>
      <c r="B131" s="635" t="str">
        <f>+'Metrado General - Arcaya'!B1345</f>
        <v>Suministro y colocación de Ventanas inc. Celosía y marco de Madera</v>
      </c>
      <c r="C131" s="636"/>
      <c r="D131" s="636"/>
      <c r="E131" s="636"/>
      <c r="F131" s="636"/>
      <c r="G131" s="637"/>
      <c r="H131" s="78" t="str">
        <f>+'Metrado General - Arcaya'!I1345</f>
        <v>m2</v>
      </c>
      <c r="I131" s="118">
        <f t="shared" si="0"/>
        <v>545.26199999999994</v>
      </c>
      <c r="J131" s="119">
        <f>+'Metrado General - Arcaya'!H1347</f>
        <v>103.95</v>
      </c>
      <c r="K131" s="120"/>
      <c r="L131" s="121"/>
      <c r="M131" s="122"/>
      <c r="N131" s="122"/>
      <c r="O131" s="123"/>
      <c r="P131" s="120"/>
      <c r="Q131" s="124"/>
      <c r="R131" s="125"/>
      <c r="S131" s="120"/>
      <c r="T131" s="121"/>
      <c r="U131" s="122"/>
      <c r="V131" s="123"/>
      <c r="W131" s="120"/>
      <c r="X131" s="121"/>
      <c r="Y131" s="123"/>
      <c r="Z131" s="120"/>
      <c r="AA131" s="121"/>
      <c r="AB131" s="121"/>
      <c r="AC131" s="117">
        <f>'Metrado General - Arcaya'!H1345</f>
        <v>441.3119999999999</v>
      </c>
      <c r="AD131" s="82"/>
      <c r="AE131" s="83"/>
      <c r="AF131" s="83"/>
      <c r="AG131" s="84"/>
      <c r="AH131" s="15"/>
    </row>
    <row r="132" spans="1:34" s="16" customFormat="1" ht="15.75" customHeight="1" x14ac:dyDescent="0.25">
      <c r="A132" s="64" t="str">
        <f>'Metrado General - Arcaya'!A1358</f>
        <v>1.04.13</v>
      </c>
      <c r="B132" s="635" t="str">
        <f>+'Metrado General - Arcaya'!B1358</f>
        <v>Planchas de Polipropilena de e=1.2mm/Color Rojo - Incluye Correas de Madera 2" x 2"</v>
      </c>
      <c r="C132" s="636"/>
      <c r="D132" s="636"/>
      <c r="E132" s="636"/>
      <c r="F132" s="636"/>
      <c r="G132" s="637"/>
      <c r="H132" s="78" t="str">
        <f>+'Metrado General - Arcaya'!I1358</f>
        <v>m2</v>
      </c>
      <c r="I132" s="118">
        <f t="shared" si="0"/>
        <v>3039.0670999999998</v>
      </c>
      <c r="J132" s="119"/>
      <c r="K132" s="120"/>
      <c r="L132" s="121"/>
      <c r="M132" s="122"/>
      <c r="N132" s="122"/>
      <c r="O132" s="123"/>
      <c r="P132" s="120"/>
      <c r="Q132" s="124"/>
      <c r="R132" s="125"/>
      <c r="S132" s="120"/>
      <c r="T132" s="121"/>
      <c r="U132" s="122"/>
      <c r="V132" s="123"/>
      <c r="W132" s="120"/>
      <c r="X132" s="121"/>
      <c r="Y132" s="123"/>
      <c r="Z132" s="120"/>
      <c r="AA132" s="121"/>
      <c r="AB132" s="121"/>
      <c r="AC132" s="117">
        <f>'Metrado General - Arcaya'!H1358</f>
        <v>3039.0670999999998</v>
      </c>
      <c r="AD132" s="82"/>
      <c r="AE132" s="83"/>
      <c r="AF132" s="83"/>
      <c r="AG132" s="84"/>
      <c r="AH132" s="15"/>
    </row>
    <row r="133" spans="1:34" s="16" customFormat="1" ht="15.75" customHeight="1" x14ac:dyDescent="0.25">
      <c r="A133" s="64" t="str">
        <f>'Metrado General - Arcaya'!A1369</f>
        <v>1.04.14</v>
      </c>
      <c r="B133" s="635" t="str">
        <f>+'Metrado General - Arcaya'!B1369</f>
        <v>Losa de Concreto  F'C=140 KG/CM2, e=10cm/Acabado  Frotachado (INC. ENCOFRADO)</v>
      </c>
      <c r="C133" s="636"/>
      <c r="D133" s="636"/>
      <c r="E133" s="636"/>
      <c r="F133" s="636"/>
      <c r="G133" s="637"/>
      <c r="H133" s="78" t="str">
        <f>+'Metrado General - Arcaya'!I1369</f>
        <v>m2</v>
      </c>
      <c r="I133" s="118">
        <f t="shared" si="0"/>
        <v>3061.32</v>
      </c>
      <c r="J133" s="119"/>
      <c r="K133" s="120"/>
      <c r="L133" s="121"/>
      <c r="M133" s="122"/>
      <c r="N133" s="122"/>
      <c r="O133" s="123"/>
      <c r="P133" s="120"/>
      <c r="Q133" s="124"/>
      <c r="R133" s="125"/>
      <c r="S133" s="120"/>
      <c r="T133" s="121"/>
      <c r="U133" s="122"/>
      <c r="V133" s="123"/>
      <c r="W133" s="120"/>
      <c r="X133" s="121"/>
      <c r="Y133" s="123"/>
      <c r="Z133" s="120"/>
      <c r="AA133" s="121"/>
      <c r="AB133" s="121"/>
      <c r="AC133" s="117">
        <f>'Metrado General - Arcaya'!H1369</f>
        <v>3061.32</v>
      </c>
      <c r="AD133" s="82"/>
      <c r="AE133" s="83"/>
      <c r="AF133" s="83"/>
      <c r="AG133" s="84"/>
      <c r="AH133" s="15"/>
    </row>
    <row r="134" spans="1:34" s="16" customFormat="1" ht="15.75" customHeight="1" x14ac:dyDescent="0.25">
      <c r="A134" s="64" t="str">
        <f>'Metrado General - Arcaya'!A1376</f>
        <v>1.04.15</v>
      </c>
      <c r="B134" s="635" t="str">
        <f>'Metrado General - Arcaya'!B1376</f>
        <v>Junta Asfaltica e=1" En Losa</v>
      </c>
      <c r="C134" s="636"/>
      <c r="D134" s="636"/>
      <c r="E134" s="636"/>
      <c r="F134" s="636"/>
      <c r="G134" s="637"/>
      <c r="H134" s="78" t="str">
        <f>'Metrado General - Arcaya'!I1376</f>
        <v>m</v>
      </c>
      <c r="I134" s="118"/>
      <c r="J134" s="119"/>
      <c r="K134" s="120"/>
      <c r="L134" s="121"/>
      <c r="M134" s="122"/>
      <c r="N134" s="122"/>
      <c r="O134" s="123"/>
      <c r="P134" s="120"/>
      <c r="Q134" s="124"/>
      <c r="R134" s="125"/>
      <c r="S134" s="120"/>
      <c r="T134" s="121"/>
      <c r="U134" s="122"/>
      <c r="V134" s="123"/>
      <c r="W134" s="120"/>
      <c r="X134" s="121"/>
      <c r="Y134" s="123"/>
      <c r="Z134" s="120"/>
      <c r="AA134" s="121"/>
      <c r="AB134" s="121"/>
      <c r="AC134" s="117">
        <f>'Metrado General - Arcaya'!H1376</f>
        <v>508.12</v>
      </c>
      <c r="AD134" s="82"/>
      <c r="AE134" s="83"/>
      <c r="AF134" s="83"/>
      <c r="AG134" s="84"/>
      <c r="AH134" s="15"/>
    </row>
    <row r="135" spans="1:34" s="16" customFormat="1" ht="15.75" customHeight="1" x14ac:dyDescent="0.25">
      <c r="A135" s="64" t="str">
        <f>'Metrado General - Arcaya'!A1383</f>
        <v>1.04.16</v>
      </c>
      <c r="B135" s="635" t="str">
        <f>'Metrado General - Arcaya'!B1383</f>
        <v>Dados de Concreto(0.35x0.35x0.50m) F'C=140Kg/Cm2</v>
      </c>
      <c r="C135" s="636"/>
      <c r="D135" s="636"/>
      <c r="E135" s="636"/>
      <c r="F135" s="636"/>
      <c r="G135" s="637"/>
      <c r="H135" s="78" t="str">
        <f>'Metrado General - Arcaya'!I1383</f>
        <v>und</v>
      </c>
      <c r="I135" s="118"/>
      <c r="J135" s="119"/>
      <c r="K135" s="120"/>
      <c r="L135" s="121"/>
      <c r="M135" s="122"/>
      <c r="N135" s="122"/>
      <c r="O135" s="123"/>
      <c r="P135" s="120"/>
      <c r="Q135" s="124"/>
      <c r="R135" s="125"/>
      <c r="S135" s="120"/>
      <c r="T135" s="121"/>
      <c r="U135" s="122"/>
      <c r="V135" s="123"/>
      <c r="W135" s="120"/>
      <c r="X135" s="121"/>
      <c r="Y135" s="123"/>
      <c r="Z135" s="120"/>
      <c r="AA135" s="121"/>
      <c r="AB135" s="121"/>
      <c r="AC135" s="117">
        <f>'Metrado General - Arcaya'!H1383</f>
        <v>326</v>
      </c>
      <c r="AD135" s="82"/>
      <c r="AE135" s="83"/>
      <c r="AF135" s="83"/>
      <c r="AG135" s="84"/>
      <c r="AH135" s="15"/>
    </row>
    <row r="136" spans="1:34" s="16" customFormat="1" ht="15.75" customHeight="1" x14ac:dyDescent="0.25">
      <c r="A136" s="64" t="str">
        <f>'Metrado General - Arcaya'!A1389</f>
        <v>1.04.17</v>
      </c>
      <c r="B136" s="635" t="str">
        <f>'Metrado General - Arcaya'!B1389</f>
        <v>Suministro y colocación de panel cerco Pro 2.40x3.00m, color verde según diseño Inc parantes metálicos 3"x3"x3.00m</v>
      </c>
      <c r="C136" s="636"/>
      <c r="D136" s="636"/>
      <c r="E136" s="636"/>
      <c r="F136" s="636"/>
      <c r="G136" s="637"/>
      <c r="H136" s="126" t="str">
        <f>'Metrado General - Arcaya'!I1389</f>
        <v>m2</v>
      </c>
      <c r="I136" s="127"/>
      <c r="J136" s="555"/>
      <c r="K136" s="129"/>
      <c r="L136" s="130"/>
      <c r="M136" s="131"/>
      <c r="N136" s="131"/>
      <c r="O136" s="128"/>
      <c r="P136" s="129"/>
      <c r="Q136" s="132"/>
      <c r="R136" s="133"/>
      <c r="S136" s="129"/>
      <c r="T136" s="130"/>
      <c r="U136" s="131"/>
      <c r="V136" s="128"/>
      <c r="W136" s="129"/>
      <c r="X136" s="130"/>
      <c r="Y136" s="128"/>
      <c r="Z136" s="129"/>
      <c r="AA136" s="130"/>
      <c r="AB136" s="130"/>
      <c r="AC136" s="72">
        <f>'Metrado General - Arcaya'!H1389</f>
        <v>417.40799999999996</v>
      </c>
      <c r="AD136" s="82"/>
      <c r="AE136" s="83"/>
      <c r="AF136" s="83"/>
      <c r="AG136" s="84"/>
      <c r="AH136" s="15"/>
    </row>
    <row r="137" spans="1:34" s="16" customFormat="1" ht="15.75" customHeight="1" x14ac:dyDescent="0.25">
      <c r="A137" s="64" t="str">
        <f>'Metrado General - Arcaya'!A1393</f>
        <v>1.04.18</v>
      </c>
      <c r="B137" s="635" t="str">
        <f>'Metrado General - Arcaya'!B1393</f>
        <v>Sardinel (0.20x0.40) F'C=140Kg/Cm2</v>
      </c>
      <c r="C137" s="636"/>
      <c r="D137" s="636"/>
      <c r="E137" s="636"/>
      <c r="F137" s="636"/>
      <c r="G137" s="637"/>
      <c r="H137" s="78" t="str">
        <f>'Metrado General - Arcaya'!I1393</f>
        <v>m</v>
      </c>
      <c r="I137" s="118"/>
      <c r="J137" s="119"/>
      <c r="K137" s="120"/>
      <c r="L137" s="121"/>
      <c r="M137" s="122"/>
      <c r="N137" s="122"/>
      <c r="O137" s="123"/>
      <c r="P137" s="120"/>
      <c r="Q137" s="124"/>
      <c r="R137" s="125"/>
      <c r="S137" s="120"/>
      <c r="T137" s="121"/>
      <c r="U137" s="122"/>
      <c r="V137" s="123"/>
      <c r="W137" s="120"/>
      <c r="X137" s="121"/>
      <c r="Y137" s="123"/>
      <c r="Z137" s="120"/>
      <c r="AA137" s="121"/>
      <c r="AB137" s="121"/>
      <c r="AC137" s="117">
        <f>'Metrado General - Arcaya'!H1393</f>
        <v>801.38</v>
      </c>
      <c r="AD137" s="82"/>
      <c r="AE137" s="83"/>
      <c r="AF137" s="83"/>
      <c r="AG137" s="84"/>
      <c r="AH137" s="15"/>
    </row>
    <row r="138" spans="1:34" s="16" customFormat="1" ht="15.75" customHeight="1" x14ac:dyDescent="0.25">
      <c r="A138" s="64" t="str">
        <f>'Metrado General - Arcaya'!A1401</f>
        <v>1.04.19</v>
      </c>
      <c r="B138" s="635" t="str">
        <f>'Metrado General - Arcaya'!B1401</f>
        <v>Sardinel (0.20x0.50) F'C=140Kg/Cm2.</v>
      </c>
      <c r="C138" s="636"/>
      <c r="D138" s="636"/>
      <c r="E138" s="636"/>
      <c r="F138" s="636"/>
      <c r="G138" s="637"/>
      <c r="H138" s="78" t="str">
        <f>'Metrado General - Arcaya'!I1401</f>
        <v>m</v>
      </c>
      <c r="I138" s="118" t="str">
        <f>'Metrado General - Arcaya'!I1401</f>
        <v>m</v>
      </c>
      <c r="J138" s="119">
        <f>'Metrado General - Arcaya'!J1401</f>
        <v>0</v>
      </c>
      <c r="K138" s="120">
        <f>'Metrado General - Arcaya'!K1401</f>
        <v>0</v>
      </c>
      <c r="L138" s="121">
        <f>'Metrado General - Arcaya'!L1401</f>
        <v>0</v>
      </c>
      <c r="M138" s="122">
        <f>'Metrado General - Arcaya'!M1401</f>
        <v>0</v>
      </c>
      <c r="N138" s="122">
        <f>'Metrado General - Arcaya'!N1401</f>
        <v>0</v>
      </c>
      <c r="O138" s="123">
        <f>'Metrado General - Arcaya'!O1401</f>
        <v>0</v>
      </c>
      <c r="P138" s="120">
        <f>'Metrado General - Arcaya'!P1401</f>
        <v>0</v>
      </c>
      <c r="Q138" s="124">
        <f>'Metrado General - Arcaya'!Q1401</f>
        <v>0</v>
      </c>
      <c r="R138" s="125">
        <f>'Metrado General - Arcaya'!R1401</f>
        <v>0</v>
      </c>
      <c r="S138" s="120">
        <f>'Metrado General - Arcaya'!S1401</f>
        <v>0</v>
      </c>
      <c r="T138" s="121">
        <f>'Metrado General - Arcaya'!T1401</f>
        <v>0</v>
      </c>
      <c r="U138" s="122">
        <f>'Metrado General - Arcaya'!U1401</f>
        <v>0</v>
      </c>
      <c r="V138" s="123">
        <f>'Metrado General - Arcaya'!V1401</f>
        <v>0</v>
      </c>
      <c r="W138" s="120">
        <f>'Metrado General - Arcaya'!W1401</f>
        <v>0</v>
      </c>
      <c r="X138" s="121">
        <f>'Metrado General - Arcaya'!X1401</f>
        <v>0</v>
      </c>
      <c r="Y138" s="123">
        <f>'Metrado General - Arcaya'!Y1401</f>
        <v>0</v>
      </c>
      <c r="Z138" s="120">
        <f>'Metrado General - Arcaya'!Z1401</f>
        <v>0</v>
      </c>
      <c r="AA138" s="121">
        <f>'Metrado General - Arcaya'!AA1401</f>
        <v>0</v>
      </c>
      <c r="AB138" s="121">
        <f>'Metrado General - Arcaya'!AB1401</f>
        <v>0</v>
      </c>
      <c r="AC138" s="117">
        <f>'Metrado General - Arcaya'!H1401</f>
        <v>10.239999999999998</v>
      </c>
      <c r="AD138" s="82"/>
      <c r="AE138" s="83"/>
      <c r="AF138" s="83"/>
      <c r="AG138" s="84"/>
      <c r="AH138" s="15"/>
    </row>
    <row r="139" spans="1:34" s="16" customFormat="1" ht="15.75" customHeight="1" x14ac:dyDescent="0.25">
      <c r="A139" s="64" t="str">
        <f>'Metrado General - Arcaya'!A1406</f>
        <v>1.04.20</v>
      </c>
      <c r="B139" s="635" t="str">
        <f>'Metrado General - Arcaya'!B1406</f>
        <v xml:space="preserve">Tarrajeo de Sardinel (0.20x0.50) </v>
      </c>
      <c r="C139" s="636"/>
      <c r="D139" s="636"/>
      <c r="E139" s="636"/>
      <c r="F139" s="636"/>
      <c r="G139" s="637"/>
      <c r="H139" s="78" t="str">
        <f>'Metrado General - Arcaya'!I1406</f>
        <v>m2</v>
      </c>
      <c r="I139" s="118" t="str">
        <f>'Metrado General - Arcaya'!I1406</f>
        <v>m2</v>
      </c>
      <c r="J139" s="119">
        <f>'Metrado General - Arcaya'!J1406</f>
        <v>0</v>
      </c>
      <c r="K139" s="120">
        <f>'Metrado General - Arcaya'!K1406</f>
        <v>0</v>
      </c>
      <c r="L139" s="121">
        <f>'Metrado General - Arcaya'!L1406</f>
        <v>0</v>
      </c>
      <c r="M139" s="122">
        <f>'Metrado General - Arcaya'!M1406</f>
        <v>0</v>
      </c>
      <c r="N139" s="122">
        <f>'Metrado General - Arcaya'!N1406</f>
        <v>0</v>
      </c>
      <c r="O139" s="123">
        <f>'Metrado General - Arcaya'!O1406</f>
        <v>0</v>
      </c>
      <c r="P139" s="120">
        <f>'Metrado General - Arcaya'!P1406</f>
        <v>0</v>
      </c>
      <c r="Q139" s="124">
        <f>'Metrado General - Arcaya'!Q1406</f>
        <v>0</v>
      </c>
      <c r="R139" s="125">
        <f>'Metrado General - Arcaya'!R1406</f>
        <v>0</v>
      </c>
      <c r="S139" s="120">
        <f>'Metrado General - Arcaya'!S1406</f>
        <v>0</v>
      </c>
      <c r="T139" s="121">
        <f>'Metrado General - Arcaya'!T1406</f>
        <v>0</v>
      </c>
      <c r="U139" s="122">
        <f>'Metrado General - Arcaya'!U1406</f>
        <v>0</v>
      </c>
      <c r="V139" s="123">
        <f>'Metrado General - Arcaya'!V1406</f>
        <v>0</v>
      </c>
      <c r="W139" s="120">
        <f>'Metrado General - Arcaya'!W1406</f>
        <v>0</v>
      </c>
      <c r="X139" s="121">
        <f>'Metrado General - Arcaya'!X1406</f>
        <v>0</v>
      </c>
      <c r="Y139" s="123">
        <f>'Metrado General - Arcaya'!Y1406</f>
        <v>0</v>
      </c>
      <c r="Z139" s="120">
        <f>'Metrado General - Arcaya'!Z1406</f>
        <v>0</v>
      </c>
      <c r="AA139" s="121">
        <f>'Metrado General - Arcaya'!AA1406</f>
        <v>0</v>
      </c>
      <c r="AB139" s="121">
        <f>'Metrado General - Arcaya'!AB1406</f>
        <v>0</v>
      </c>
      <c r="AC139" s="72">
        <f>'Metrado General - Arcaya'!H1406</f>
        <v>8.1919999999999984</v>
      </c>
      <c r="AD139" s="82"/>
      <c r="AE139" s="83"/>
      <c r="AF139" s="83"/>
      <c r="AG139" s="84"/>
      <c r="AH139" s="15"/>
    </row>
    <row r="140" spans="1:34" s="16" customFormat="1" ht="15.75" customHeight="1" x14ac:dyDescent="0.25">
      <c r="A140" s="64" t="str">
        <f>'Metrado General - Arcaya'!A1413</f>
        <v>1.04.21</v>
      </c>
      <c r="B140" s="635" t="str">
        <f>'Metrado General - Arcaya'!B1413</f>
        <v>Pintura con Esmalte Sintético</v>
      </c>
      <c r="C140" s="636"/>
      <c r="D140" s="636"/>
      <c r="E140" s="636"/>
      <c r="F140" s="636"/>
      <c r="G140" s="637"/>
      <c r="H140" s="78" t="str">
        <f>'Metrado General - Arcaya'!I1413</f>
        <v>m2</v>
      </c>
      <c r="I140" s="118" t="str">
        <f>'Metrado General - Arcaya'!I1413</f>
        <v>m2</v>
      </c>
      <c r="J140" s="119">
        <f>'Metrado General - Arcaya'!J1413</f>
        <v>0</v>
      </c>
      <c r="K140" s="120">
        <f>'Metrado General - Arcaya'!K1413</f>
        <v>0</v>
      </c>
      <c r="L140" s="121">
        <f>'Metrado General - Arcaya'!L1413</f>
        <v>0</v>
      </c>
      <c r="M140" s="122">
        <f>'Metrado General - Arcaya'!M1413</f>
        <v>0</v>
      </c>
      <c r="N140" s="122">
        <f>'Metrado General - Arcaya'!N1413</f>
        <v>0</v>
      </c>
      <c r="O140" s="123">
        <f>'Metrado General - Arcaya'!O1413</f>
        <v>0</v>
      </c>
      <c r="P140" s="120">
        <f>'Metrado General - Arcaya'!P1413</f>
        <v>0</v>
      </c>
      <c r="Q140" s="124">
        <f>'Metrado General - Arcaya'!Q1413</f>
        <v>0</v>
      </c>
      <c r="R140" s="125">
        <f>'Metrado General - Arcaya'!R1413</f>
        <v>0</v>
      </c>
      <c r="S140" s="120">
        <f>'Metrado General - Arcaya'!S1413</f>
        <v>0</v>
      </c>
      <c r="T140" s="121">
        <f>'Metrado General - Arcaya'!T1413</f>
        <v>0</v>
      </c>
      <c r="U140" s="122">
        <f>'Metrado General - Arcaya'!U1413</f>
        <v>0</v>
      </c>
      <c r="V140" s="123">
        <f>'Metrado General - Arcaya'!V1413</f>
        <v>0</v>
      </c>
      <c r="W140" s="120">
        <f>'Metrado General - Arcaya'!W1413</f>
        <v>0</v>
      </c>
      <c r="X140" s="121">
        <f>'Metrado General - Arcaya'!X1413</f>
        <v>0</v>
      </c>
      <c r="Y140" s="123">
        <f>'Metrado General - Arcaya'!Y1413</f>
        <v>0</v>
      </c>
      <c r="Z140" s="120">
        <f>'Metrado General - Arcaya'!Z1413</f>
        <v>0</v>
      </c>
      <c r="AA140" s="121">
        <f>'Metrado General - Arcaya'!AA1413</f>
        <v>0</v>
      </c>
      <c r="AB140" s="121">
        <f>'Metrado General - Arcaya'!AB1413</f>
        <v>0</v>
      </c>
      <c r="AC140" s="117">
        <f>'Metrado General - Arcaya'!H1413</f>
        <v>3096.9466000000016</v>
      </c>
      <c r="AD140" s="82"/>
      <c r="AE140" s="83"/>
      <c r="AF140" s="83"/>
      <c r="AG140" s="84"/>
      <c r="AH140" s="15"/>
    </row>
    <row r="141" spans="1:34" s="16" customFormat="1" ht="15.75" customHeight="1" x14ac:dyDescent="0.25">
      <c r="A141" s="64" t="str">
        <f>'Metrado General - Arcaya'!A1419</f>
        <v>1.04.22</v>
      </c>
      <c r="B141" s="635" t="str">
        <f>'Metrado General - Arcaya'!B1419</f>
        <v>Nivelación y colocación de cotrapiso C.A prop. 1:4  e=2"</v>
      </c>
      <c r="C141" s="636"/>
      <c r="D141" s="636"/>
      <c r="E141" s="636"/>
      <c r="F141" s="636"/>
      <c r="G141" s="637"/>
      <c r="H141" s="78" t="str">
        <f>'Metrado General - Arcaya'!I1419</f>
        <v>m2</v>
      </c>
      <c r="I141" s="118"/>
      <c r="J141" s="119"/>
      <c r="K141" s="120"/>
      <c r="L141" s="121"/>
      <c r="M141" s="122"/>
      <c r="N141" s="122"/>
      <c r="O141" s="123"/>
      <c r="P141" s="120"/>
      <c r="Q141" s="124"/>
      <c r="R141" s="125"/>
      <c r="S141" s="120"/>
      <c r="T141" s="121"/>
      <c r="U141" s="122"/>
      <c r="V141" s="123"/>
      <c r="W141" s="120"/>
      <c r="X141" s="121"/>
      <c r="Y141" s="123"/>
      <c r="Z141" s="120"/>
      <c r="AA141" s="121"/>
      <c r="AB141" s="121"/>
      <c r="AC141" s="117">
        <f>'Metrado General - Arcaya'!H1419</f>
        <v>537</v>
      </c>
      <c r="AD141" s="82"/>
      <c r="AE141" s="83"/>
      <c r="AF141" s="83"/>
      <c r="AG141" s="84"/>
      <c r="AH141" s="15"/>
    </row>
    <row r="142" spans="1:34" s="16" customFormat="1" ht="15.75" customHeight="1" x14ac:dyDescent="0.25">
      <c r="A142" s="64" t="str">
        <f>'Metrado General - Arcaya'!A1423</f>
        <v>1.04.23</v>
      </c>
      <c r="B142" s="635" t="str">
        <f>'Metrado General - Arcaya'!B1423</f>
        <v>Acero F'Y=4200Kg/Cm2, en contrapiso para nivelación de losa</v>
      </c>
      <c r="C142" s="636"/>
      <c r="D142" s="636"/>
      <c r="E142" s="636"/>
      <c r="F142" s="636"/>
      <c r="G142" s="637"/>
      <c r="H142" s="78" t="str">
        <f>'Metrado General - Arcaya'!I1423</f>
        <v>kg</v>
      </c>
      <c r="I142" s="118"/>
      <c r="J142" s="119"/>
      <c r="K142" s="120"/>
      <c r="L142" s="121"/>
      <c r="M142" s="122"/>
      <c r="N142" s="122"/>
      <c r="O142" s="123"/>
      <c r="P142" s="120"/>
      <c r="Q142" s="124"/>
      <c r="R142" s="125"/>
      <c r="S142" s="120"/>
      <c r="T142" s="121"/>
      <c r="U142" s="122"/>
      <c r="V142" s="123"/>
      <c r="W142" s="120"/>
      <c r="X142" s="121"/>
      <c r="Y142" s="123"/>
      <c r="Z142" s="120"/>
      <c r="AA142" s="121"/>
      <c r="AB142" s="121"/>
      <c r="AC142" s="117">
        <f>'Metrado General - Arcaya'!H1423</f>
        <v>1072.1399999999999</v>
      </c>
      <c r="AD142" s="82"/>
      <c r="AE142" s="83"/>
      <c r="AF142" s="83"/>
      <c r="AG142" s="84"/>
      <c r="AH142" s="15"/>
    </row>
    <row r="143" spans="1:34" s="16" customFormat="1" ht="15.75" customHeight="1" x14ac:dyDescent="0.25">
      <c r="A143" s="68" t="str">
        <f>'Metrado General - Arcaya'!A1428</f>
        <v>1.04.24</v>
      </c>
      <c r="B143" s="635" t="str">
        <f>'Metrado General - Arcaya'!B1428</f>
        <v>Lavadero de Una Poza Acabado Pulido Inc/ instalaciones</v>
      </c>
      <c r="C143" s="636"/>
      <c r="D143" s="636"/>
      <c r="E143" s="636"/>
      <c r="F143" s="636"/>
      <c r="G143" s="637"/>
      <c r="H143" s="78" t="str">
        <f>'Metrado General - Arcaya'!I1428</f>
        <v>und</v>
      </c>
      <c r="I143" s="118"/>
      <c r="J143" s="119"/>
      <c r="K143" s="120"/>
      <c r="L143" s="121"/>
      <c r="M143" s="122"/>
      <c r="N143" s="122"/>
      <c r="O143" s="123"/>
      <c r="P143" s="120"/>
      <c r="Q143" s="124"/>
      <c r="R143" s="125"/>
      <c r="S143" s="120"/>
      <c r="T143" s="121"/>
      <c r="U143" s="122"/>
      <c r="V143" s="123"/>
      <c r="W143" s="120"/>
      <c r="X143" s="121"/>
      <c r="Y143" s="123"/>
      <c r="Z143" s="120"/>
      <c r="AA143" s="121"/>
      <c r="AB143" s="121"/>
      <c r="AC143" s="117">
        <f>'Metrado General - Arcaya'!H1428</f>
        <v>4</v>
      </c>
      <c r="AD143" s="82"/>
      <c r="AE143" s="83"/>
      <c r="AF143" s="83"/>
      <c r="AG143" s="84"/>
      <c r="AH143" s="15"/>
    </row>
    <row r="144" spans="1:34" s="16" customFormat="1" ht="15.75" thickBot="1" x14ac:dyDescent="0.3">
      <c r="A144" s="65" t="str">
        <f>'Metrado General - Arcaya'!A1433</f>
        <v>1.04.25</v>
      </c>
      <c r="B144" s="686" t="str">
        <f>+'Metrado General - Arcaya'!B1433</f>
        <v>Eliminación de Material Excedente a 2 km de distancia de la obra</v>
      </c>
      <c r="C144" s="687"/>
      <c r="D144" s="687"/>
      <c r="E144" s="687"/>
      <c r="F144" s="687"/>
      <c r="G144" s="688"/>
      <c r="H144" s="147" t="str">
        <f>+'Metrado General - Arcaya'!I1433</f>
        <v>m3</v>
      </c>
      <c r="I144" s="148">
        <f>+'Metrado General - Arcaya'!H1433</f>
        <v>5941.1103690000009</v>
      </c>
      <c r="J144" s="149"/>
      <c r="K144" s="150"/>
      <c r="L144" s="151"/>
      <c r="M144" s="152"/>
      <c r="N144" s="152"/>
      <c r="O144" s="153"/>
      <c r="P144" s="150"/>
      <c r="Q144" s="154"/>
      <c r="R144" s="155"/>
      <c r="S144" s="150"/>
      <c r="T144" s="151"/>
      <c r="U144" s="152"/>
      <c r="V144" s="153"/>
      <c r="W144" s="150"/>
      <c r="X144" s="151"/>
      <c r="Y144" s="153"/>
      <c r="Z144" s="150"/>
      <c r="AA144" s="151"/>
      <c r="AB144" s="151"/>
      <c r="AC144" s="75">
        <f>'Metrado General - Arcaya'!H1433</f>
        <v>5941.1103690000009</v>
      </c>
      <c r="AD144" s="82"/>
      <c r="AE144" s="83"/>
      <c r="AF144" s="83"/>
      <c r="AG144" s="84"/>
      <c r="AH144" s="15"/>
    </row>
    <row r="145" spans="1:34" s="16" customFormat="1" x14ac:dyDescent="0.25">
      <c r="A145" s="113">
        <f>'Metrado General - Arcaya'!A1438</f>
        <v>1.05</v>
      </c>
      <c r="B145" s="689" t="str">
        <f>'Metrado General - Arcaya'!B1438</f>
        <v>Evacuación y Señalización</v>
      </c>
      <c r="C145" s="690"/>
      <c r="D145" s="690"/>
      <c r="E145" s="690"/>
      <c r="F145" s="690"/>
      <c r="G145" s="691"/>
      <c r="H145" s="143"/>
      <c r="I145" s="73"/>
      <c r="J145" s="88"/>
      <c r="K145" s="89"/>
      <c r="L145" s="90"/>
      <c r="M145" s="91"/>
      <c r="N145" s="91"/>
      <c r="O145" s="88"/>
      <c r="P145" s="89"/>
      <c r="Q145" s="92"/>
      <c r="R145" s="93"/>
      <c r="S145" s="89"/>
      <c r="T145" s="90"/>
      <c r="U145" s="91"/>
      <c r="V145" s="88"/>
      <c r="W145" s="89"/>
      <c r="X145" s="90"/>
      <c r="Y145" s="88"/>
      <c r="Z145" s="89"/>
      <c r="AA145" s="90"/>
      <c r="AB145" s="90"/>
      <c r="AC145" s="143"/>
      <c r="AD145" s="82"/>
      <c r="AE145" s="83"/>
      <c r="AF145" s="83"/>
      <c r="AG145" s="84"/>
      <c r="AH145" s="15"/>
    </row>
    <row r="146" spans="1:34" s="16" customFormat="1" x14ac:dyDescent="0.25">
      <c r="A146" s="64" t="str">
        <f>'Metrado General - Arcaya'!A1442</f>
        <v>1.05.01.01</v>
      </c>
      <c r="B146" s="680" t="str">
        <f>'Metrado General - Arcaya'!B1442</f>
        <v>Suministro y colocación de señalizacion adosada a pared de 0.20x0.30</v>
      </c>
      <c r="C146" s="681"/>
      <c r="D146" s="681"/>
      <c r="E146" s="681"/>
      <c r="F146" s="681"/>
      <c r="G146" s="682"/>
      <c r="H146" s="156" t="str">
        <f>'Metrado General - Arcaya'!I1442</f>
        <v>und</v>
      </c>
      <c r="I146" s="73"/>
      <c r="J146" s="88"/>
      <c r="K146" s="89"/>
      <c r="L146" s="90"/>
      <c r="M146" s="91"/>
      <c r="N146" s="91"/>
      <c r="O146" s="88"/>
      <c r="P146" s="89"/>
      <c r="Q146" s="92"/>
      <c r="R146" s="93"/>
      <c r="S146" s="89"/>
      <c r="T146" s="90"/>
      <c r="U146" s="91"/>
      <c r="V146" s="88"/>
      <c r="W146" s="89"/>
      <c r="X146" s="90"/>
      <c r="Y146" s="88"/>
      <c r="Z146" s="89"/>
      <c r="AA146" s="90"/>
      <c r="AB146" s="90"/>
      <c r="AC146" s="117">
        <f>'Metrado General - Arcaya'!H1442</f>
        <v>120</v>
      </c>
      <c r="AD146" s="82"/>
      <c r="AE146" s="83"/>
      <c r="AF146" s="83"/>
      <c r="AG146" s="84"/>
      <c r="AH146" s="15"/>
    </row>
    <row r="147" spans="1:34" s="16" customFormat="1" x14ac:dyDescent="0.25">
      <c r="A147" s="64" t="str">
        <f>'Metrado General - Arcaya'!A1450</f>
        <v>1.05.01.02</v>
      </c>
      <c r="B147" s="680" t="str">
        <f>'Metrado General - Arcaya'!B1450</f>
        <v>Suministro y colocación de señalizacion adosada a pared de 0.30x0.40</v>
      </c>
      <c r="C147" s="681"/>
      <c r="D147" s="681"/>
      <c r="E147" s="681"/>
      <c r="F147" s="681"/>
      <c r="G147" s="682"/>
      <c r="H147" s="156" t="str">
        <f>'Metrado General - Arcaya'!I1450</f>
        <v>und</v>
      </c>
      <c r="I147" s="73"/>
      <c r="J147" s="88"/>
      <c r="K147" s="89"/>
      <c r="L147" s="90"/>
      <c r="M147" s="91"/>
      <c r="N147" s="91"/>
      <c r="O147" s="88"/>
      <c r="P147" s="89"/>
      <c r="Q147" s="92"/>
      <c r="R147" s="93"/>
      <c r="S147" s="89"/>
      <c r="T147" s="90"/>
      <c r="U147" s="91"/>
      <c r="V147" s="88"/>
      <c r="W147" s="89"/>
      <c r="X147" s="90"/>
      <c r="Y147" s="88"/>
      <c r="Z147" s="89"/>
      <c r="AA147" s="90"/>
      <c r="AB147" s="90"/>
      <c r="AC147" s="117">
        <f>'Metrado General - Arcaya'!H1450</f>
        <v>4</v>
      </c>
      <c r="AD147" s="82"/>
      <c r="AE147" s="83"/>
      <c r="AF147" s="83"/>
      <c r="AG147" s="84"/>
      <c r="AH147" s="15"/>
    </row>
    <row r="148" spans="1:34" s="16" customFormat="1" x14ac:dyDescent="0.25">
      <c r="A148" s="87" t="str">
        <f>'Metrado General - Arcaya'!A1455</f>
        <v>1.05.02</v>
      </c>
      <c r="B148" s="680" t="str">
        <f>'Metrado General - Arcaya'!B1455</f>
        <v>Suministro y colocación de Extintores</v>
      </c>
      <c r="C148" s="681"/>
      <c r="D148" s="681"/>
      <c r="E148" s="681"/>
      <c r="F148" s="681"/>
      <c r="G148" s="682"/>
      <c r="H148" s="156" t="str">
        <f>'Metrado General - Arcaya'!I1455</f>
        <v>und</v>
      </c>
      <c r="I148" s="73"/>
      <c r="J148" s="88"/>
      <c r="K148" s="89"/>
      <c r="L148" s="90"/>
      <c r="M148" s="91"/>
      <c r="N148" s="91"/>
      <c r="O148" s="88"/>
      <c r="P148" s="89"/>
      <c r="Q148" s="92"/>
      <c r="R148" s="93"/>
      <c r="S148" s="89"/>
      <c r="T148" s="90"/>
      <c r="U148" s="91"/>
      <c r="V148" s="88"/>
      <c r="W148" s="89"/>
      <c r="X148" s="90"/>
      <c r="Y148" s="88"/>
      <c r="Z148" s="89"/>
      <c r="AA148" s="90"/>
      <c r="AB148" s="90"/>
      <c r="AC148" s="74">
        <f>'Metrado General - Arcaya'!H1455</f>
        <v>4</v>
      </c>
      <c r="AD148" s="82"/>
      <c r="AE148" s="83"/>
      <c r="AF148" s="83"/>
      <c r="AG148" s="84"/>
      <c r="AH148" s="15"/>
    </row>
    <row r="149" spans="1:34" s="16" customFormat="1" x14ac:dyDescent="0.25">
      <c r="A149" s="113">
        <f>'Metrado General - Arcaya'!A1460</f>
        <v>1.06</v>
      </c>
      <c r="B149" s="114" t="str">
        <f>'Metrado General - Arcaya'!B1460</f>
        <v>INSTALACIONES SANITARIAS</v>
      </c>
      <c r="C149" s="115"/>
      <c r="D149" s="115"/>
      <c r="E149" s="115"/>
      <c r="F149" s="115"/>
      <c r="G149" s="116"/>
      <c r="H149" s="143"/>
      <c r="I149" s="144"/>
      <c r="J149" s="145"/>
      <c r="K149" s="145"/>
      <c r="L149" s="145"/>
      <c r="M149" s="145"/>
      <c r="N149" s="145"/>
      <c r="O149" s="145"/>
      <c r="P149" s="145"/>
      <c r="Q149" s="143"/>
      <c r="R149" s="146"/>
      <c r="S149" s="145"/>
      <c r="T149" s="145"/>
      <c r="U149" s="145"/>
      <c r="V149" s="145"/>
      <c r="W149" s="145"/>
      <c r="X149" s="145"/>
      <c r="Y149" s="145"/>
      <c r="Z149" s="145"/>
      <c r="AA149" s="145"/>
      <c r="AB149" s="145"/>
      <c r="AC149" s="143"/>
      <c r="AD149" s="82"/>
      <c r="AE149" s="83"/>
      <c r="AF149" s="83"/>
      <c r="AG149" s="84"/>
      <c r="AH149" s="15"/>
    </row>
    <row r="150" spans="1:34" s="16" customFormat="1" x14ac:dyDescent="0.25">
      <c r="A150" s="109" t="str">
        <f>'Metrado General - Arcaya'!A1461</f>
        <v>1.06.01</v>
      </c>
      <c r="B150" s="517" t="str">
        <f>'Metrado General - Arcaya'!B1461</f>
        <v xml:space="preserve">APARATOS SANITARIOS Y ACCESORIOS </v>
      </c>
      <c r="C150" s="518"/>
      <c r="D150" s="518"/>
      <c r="E150" s="518"/>
      <c r="F150" s="518"/>
      <c r="G150" s="519"/>
      <c r="H150" s="134"/>
      <c r="I150" s="142"/>
      <c r="J150" s="136"/>
      <c r="K150" s="136"/>
      <c r="L150" s="136"/>
      <c r="M150" s="136"/>
      <c r="N150" s="136"/>
      <c r="O150" s="136"/>
      <c r="P150" s="136"/>
      <c r="Q150" s="134"/>
      <c r="R150" s="137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4"/>
      <c r="AD150" s="82"/>
      <c r="AE150" s="83"/>
      <c r="AF150" s="83"/>
      <c r="AG150" s="84"/>
      <c r="AH150" s="15"/>
    </row>
    <row r="151" spans="1:34" s="16" customFormat="1" x14ac:dyDescent="0.25">
      <c r="A151" s="87" t="str">
        <f>'Metrado General - Arcaya'!A1462</f>
        <v>1.06.01.01</v>
      </c>
      <c r="B151" s="680" t="str">
        <f>'Metrado General - Arcaya'!B1462</f>
        <v>Suministro de aparato sanitario (INODORO)</v>
      </c>
      <c r="C151" s="681"/>
      <c r="D151" s="681"/>
      <c r="E151" s="681"/>
      <c r="F151" s="681"/>
      <c r="G151" s="682"/>
      <c r="H151" s="79" t="str">
        <f>'Metrado General - Arcaya'!I1462</f>
        <v>und</v>
      </c>
      <c r="I151" s="73"/>
      <c r="J151" s="88"/>
      <c r="K151" s="89"/>
      <c r="L151" s="90"/>
      <c r="M151" s="91"/>
      <c r="N151" s="91"/>
      <c r="O151" s="88"/>
      <c r="P151" s="89"/>
      <c r="Q151" s="92"/>
      <c r="R151" s="93"/>
      <c r="S151" s="89"/>
      <c r="T151" s="90"/>
      <c r="U151" s="91"/>
      <c r="V151" s="88"/>
      <c r="W151" s="89"/>
      <c r="X151" s="90"/>
      <c r="Y151" s="88"/>
      <c r="Z151" s="89"/>
      <c r="AA151" s="90"/>
      <c r="AB151" s="90"/>
      <c r="AC151" s="72">
        <f>'Metrado General - Arcaya'!H1462</f>
        <v>32</v>
      </c>
      <c r="AD151" s="82"/>
      <c r="AE151" s="83"/>
      <c r="AF151" s="83"/>
      <c r="AG151" s="84"/>
      <c r="AH151" s="15"/>
    </row>
    <row r="152" spans="1:34" s="16" customFormat="1" x14ac:dyDescent="0.25">
      <c r="A152" s="87" t="str">
        <f>'Metrado General - Arcaya'!A1467</f>
        <v>1.06.01.02</v>
      </c>
      <c r="B152" s="680" t="str">
        <f>'Metrado General - Arcaya'!B1467</f>
        <v>Suministro de accesorios P/INODORO</v>
      </c>
      <c r="C152" s="681"/>
      <c r="D152" s="681"/>
      <c r="E152" s="681"/>
      <c r="F152" s="681"/>
      <c r="G152" s="682"/>
      <c r="H152" s="79" t="str">
        <f>'Metrado General - Arcaya'!I1467</f>
        <v>und</v>
      </c>
      <c r="I152" s="73"/>
      <c r="J152" s="88"/>
      <c r="K152" s="89"/>
      <c r="L152" s="90"/>
      <c r="M152" s="91"/>
      <c r="N152" s="91"/>
      <c r="O152" s="88"/>
      <c r="P152" s="89"/>
      <c r="Q152" s="92"/>
      <c r="R152" s="93"/>
      <c r="S152" s="89"/>
      <c r="T152" s="90"/>
      <c r="U152" s="91"/>
      <c r="V152" s="88"/>
      <c r="W152" s="89"/>
      <c r="X152" s="90"/>
      <c r="Y152" s="88"/>
      <c r="Z152" s="89"/>
      <c r="AA152" s="90"/>
      <c r="AB152" s="90"/>
      <c r="AC152" s="72">
        <f>'Metrado General - Arcaya'!H1467</f>
        <v>32</v>
      </c>
      <c r="AD152" s="82"/>
      <c r="AE152" s="83"/>
      <c r="AF152" s="83"/>
      <c r="AG152" s="84"/>
      <c r="AH152" s="15"/>
    </row>
    <row r="153" spans="1:34" s="16" customFormat="1" x14ac:dyDescent="0.25">
      <c r="A153" s="87" t="str">
        <f>'Metrado General - Arcaya'!A1472</f>
        <v>1.06.01.03</v>
      </c>
      <c r="B153" s="680" t="str">
        <f>'Metrado General - Arcaya'!B1472</f>
        <v>Instalación de aparatos Sanitarios y accesorios</v>
      </c>
      <c r="C153" s="681"/>
      <c r="D153" s="681"/>
      <c r="E153" s="681"/>
      <c r="F153" s="681"/>
      <c r="G153" s="682"/>
      <c r="H153" s="79" t="str">
        <f>'Metrado General - Arcaya'!I1472</f>
        <v>und</v>
      </c>
      <c r="I153" s="73"/>
      <c r="J153" s="88"/>
      <c r="K153" s="89"/>
      <c r="L153" s="90"/>
      <c r="M153" s="91"/>
      <c r="N153" s="91"/>
      <c r="O153" s="88"/>
      <c r="P153" s="89"/>
      <c r="Q153" s="92"/>
      <c r="R153" s="93"/>
      <c r="S153" s="89"/>
      <c r="T153" s="90"/>
      <c r="U153" s="91"/>
      <c r="V153" s="88"/>
      <c r="W153" s="89"/>
      <c r="X153" s="90"/>
      <c r="Y153" s="88"/>
      <c r="Z153" s="89"/>
      <c r="AA153" s="90"/>
      <c r="AB153" s="90"/>
      <c r="AC153" s="72">
        <f>'Metrado General - Arcaya'!H1472</f>
        <v>40</v>
      </c>
      <c r="AD153" s="82"/>
      <c r="AE153" s="83"/>
      <c r="AF153" s="83"/>
      <c r="AG153" s="84"/>
      <c r="AH153" s="15"/>
    </row>
    <row r="154" spans="1:34" s="16" customFormat="1" x14ac:dyDescent="0.25">
      <c r="A154" s="109" t="str">
        <f>'Metrado General - Arcaya'!A1478</f>
        <v>1.06.02</v>
      </c>
      <c r="B154" s="517" t="str">
        <f>'Metrado General - Arcaya'!B1478</f>
        <v>SISTEMA DE AGUA FRÍA</v>
      </c>
      <c r="C154" s="518"/>
      <c r="D154" s="518"/>
      <c r="E154" s="518"/>
      <c r="F154" s="518"/>
      <c r="G154" s="519"/>
      <c r="H154" s="134"/>
      <c r="I154" s="142"/>
      <c r="J154" s="136"/>
      <c r="K154" s="136"/>
      <c r="L154" s="136"/>
      <c r="M154" s="136"/>
      <c r="N154" s="136"/>
      <c r="O154" s="136"/>
      <c r="P154" s="136"/>
      <c r="Q154" s="134"/>
      <c r="R154" s="137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4"/>
      <c r="AD154" s="82"/>
      <c r="AE154" s="83"/>
      <c r="AF154" s="83"/>
      <c r="AG154" s="84"/>
      <c r="AH154" s="15"/>
    </row>
    <row r="155" spans="1:34" s="16" customFormat="1" x14ac:dyDescent="0.25">
      <c r="A155" s="71" t="str">
        <f>'Metrado General - Arcaya'!A1479</f>
        <v>1.06.02.01</v>
      </c>
      <c r="B155" s="683" t="str">
        <f>'Metrado General - Arcaya'!B1479</f>
        <v>SALIDAS DE AGUA FRÍA</v>
      </c>
      <c r="C155" s="684"/>
      <c r="D155" s="684"/>
      <c r="E155" s="684"/>
      <c r="F155" s="684"/>
      <c r="G155" s="685"/>
      <c r="H155" s="72"/>
      <c r="I155" s="73"/>
      <c r="J155" s="88"/>
      <c r="K155" s="89"/>
      <c r="L155" s="90"/>
      <c r="M155" s="91"/>
      <c r="N155" s="91"/>
      <c r="O155" s="88"/>
      <c r="P155" s="89"/>
      <c r="Q155" s="92"/>
      <c r="R155" s="93"/>
      <c r="S155" s="89"/>
      <c r="T155" s="90"/>
      <c r="U155" s="91"/>
      <c r="V155" s="88"/>
      <c r="W155" s="89"/>
      <c r="X155" s="90"/>
      <c r="Y155" s="88"/>
      <c r="Z155" s="89"/>
      <c r="AA155" s="90"/>
      <c r="AB155" s="90"/>
      <c r="AC155" s="74"/>
      <c r="AD155" s="82"/>
      <c r="AE155" s="83"/>
      <c r="AF155" s="83"/>
      <c r="AG155" s="84"/>
      <c r="AH155" s="15"/>
    </row>
    <row r="156" spans="1:34" s="16" customFormat="1" x14ac:dyDescent="0.25">
      <c r="A156" s="87" t="str">
        <f>'Metrado General - Arcaya'!A1480</f>
        <v>1.06.02.01.01</v>
      </c>
      <c r="B156" s="680" t="str">
        <f>'Metrado General - Arcaya'!B1480</f>
        <v>Salida de agua fría Ø 1/2'' Bronce</v>
      </c>
      <c r="C156" s="681"/>
      <c r="D156" s="681"/>
      <c r="E156" s="681"/>
      <c r="F156" s="681"/>
      <c r="G156" s="682"/>
      <c r="H156" s="72" t="str">
        <f>'Metrado General - Arcaya'!I1480</f>
        <v>pto</v>
      </c>
      <c r="I156" s="73"/>
      <c r="J156" s="88"/>
      <c r="K156" s="89"/>
      <c r="L156" s="90"/>
      <c r="M156" s="91"/>
      <c r="N156" s="91"/>
      <c r="O156" s="88"/>
      <c r="P156" s="89"/>
      <c r="Q156" s="92"/>
      <c r="R156" s="93"/>
      <c r="S156" s="89"/>
      <c r="T156" s="90"/>
      <c r="U156" s="91"/>
      <c r="V156" s="88"/>
      <c r="W156" s="89"/>
      <c r="X156" s="90"/>
      <c r="Y156" s="88"/>
      <c r="Z156" s="89"/>
      <c r="AA156" s="90"/>
      <c r="AB156" s="90"/>
      <c r="AC156" s="74">
        <f>'Metrado General - Arcaya'!H1480</f>
        <v>40</v>
      </c>
      <c r="AD156" s="82"/>
      <c r="AE156" s="83"/>
      <c r="AF156" s="83"/>
      <c r="AG156" s="84"/>
      <c r="AH156" s="15"/>
    </row>
    <row r="157" spans="1:34" s="16" customFormat="1" x14ac:dyDescent="0.25">
      <c r="A157" s="71" t="str">
        <f>'Metrado General - Arcaya'!A1486</f>
        <v>1.06.03</v>
      </c>
      <c r="B157" s="683" t="str">
        <f>'Metrado General - Arcaya'!B1486</f>
        <v>REDES DE DISTRIBUCIÓN</v>
      </c>
      <c r="C157" s="684"/>
      <c r="D157" s="684"/>
      <c r="E157" s="684"/>
      <c r="F157" s="684"/>
      <c r="G157" s="685"/>
      <c r="H157" s="72"/>
      <c r="I157" s="73"/>
      <c r="J157" s="88"/>
      <c r="K157" s="89"/>
      <c r="L157" s="90"/>
      <c r="M157" s="91"/>
      <c r="N157" s="91"/>
      <c r="O157" s="88"/>
      <c r="P157" s="89"/>
      <c r="Q157" s="92"/>
      <c r="R157" s="93"/>
      <c r="S157" s="89"/>
      <c r="T157" s="90"/>
      <c r="U157" s="91"/>
      <c r="V157" s="88"/>
      <c r="W157" s="89"/>
      <c r="X157" s="90"/>
      <c r="Y157" s="88"/>
      <c r="Z157" s="89"/>
      <c r="AA157" s="90"/>
      <c r="AB157" s="90"/>
      <c r="AC157" s="74"/>
      <c r="AD157" s="82"/>
      <c r="AE157" s="83"/>
      <c r="AF157" s="83"/>
      <c r="AG157" s="84"/>
      <c r="AH157" s="15"/>
    </row>
    <row r="158" spans="1:34" s="16" customFormat="1" x14ac:dyDescent="0.25">
      <c r="A158" s="87" t="str">
        <f>'Metrado General - Arcaya'!A1487</f>
        <v>1.06.03.01</v>
      </c>
      <c r="B158" s="680" t="str">
        <f>'Metrado General - Arcaya'!B1487</f>
        <v>Tubería PVC CLASE 10 SP P/Agua Fría D=3/4''</v>
      </c>
      <c r="C158" s="681"/>
      <c r="D158" s="681"/>
      <c r="E158" s="681"/>
      <c r="F158" s="681"/>
      <c r="G158" s="682"/>
      <c r="H158" s="72" t="str">
        <f>'Metrado General - Arcaya'!I1487</f>
        <v>m</v>
      </c>
      <c r="I158" s="73"/>
      <c r="J158" s="88"/>
      <c r="K158" s="89"/>
      <c r="L158" s="90"/>
      <c r="M158" s="91"/>
      <c r="N158" s="91"/>
      <c r="O158" s="88"/>
      <c r="P158" s="89"/>
      <c r="Q158" s="92"/>
      <c r="R158" s="93"/>
      <c r="S158" s="89"/>
      <c r="T158" s="90"/>
      <c r="U158" s="91"/>
      <c r="V158" s="88"/>
      <c r="W158" s="89"/>
      <c r="X158" s="90"/>
      <c r="Y158" s="88"/>
      <c r="Z158" s="89"/>
      <c r="AA158" s="90"/>
      <c r="AB158" s="90"/>
      <c r="AC158" s="74">
        <f>'Metrado General - Arcaya'!H1487</f>
        <v>124.47</v>
      </c>
      <c r="AD158" s="82"/>
      <c r="AE158" s="83"/>
      <c r="AF158" s="83"/>
      <c r="AG158" s="84"/>
      <c r="AH158" s="15"/>
    </row>
    <row r="159" spans="1:34" s="16" customFormat="1" x14ac:dyDescent="0.25">
      <c r="A159" s="71" t="str">
        <f>'Metrado General - Arcaya'!A1492</f>
        <v>1.06.04</v>
      </c>
      <c r="B159" s="683" t="str">
        <f>'Metrado General - Arcaya'!B1492</f>
        <v>REDES DE ALIMENTACIÓN</v>
      </c>
      <c r="C159" s="684"/>
      <c r="D159" s="684"/>
      <c r="E159" s="684"/>
      <c r="F159" s="684"/>
      <c r="G159" s="685"/>
      <c r="H159" s="72"/>
      <c r="I159" s="73"/>
      <c r="J159" s="88"/>
      <c r="K159" s="89"/>
      <c r="L159" s="90"/>
      <c r="M159" s="91"/>
      <c r="N159" s="91"/>
      <c r="O159" s="88"/>
      <c r="P159" s="89"/>
      <c r="Q159" s="92"/>
      <c r="R159" s="93"/>
      <c r="S159" s="89"/>
      <c r="T159" s="90"/>
      <c r="U159" s="91"/>
      <c r="V159" s="88"/>
      <c r="W159" s="89"/>
      <c r="X159" s="90"/>
      <c r="Y159" s="88"/>
      <c r="Z159" s="89"/>
      <c r="AA159" s="90"/>
      <c r="AB159" s="90"/>
      <c r="AC159" s="74"/>
      <c r="AD159" s="82"/>
      <c r="AE159" s="83"/>
      <c r="AF159" s="83"/>
      <c r="AG159" s="84"/>
      <c r="AH159" s="15"/>
    </row>
    <row r="160" spans="1:34" s="16" customFormat="1" x14ac:dyDescent="0.25">
      <c r="A160" s="87" t="str">
        <f>'Metrado General - Arcaya'!A1493</f>
        <v>1.06.04.01</v>
      </c>
      <c r="B160" s="680" t="str">
        <f>'Metrado General - Arcaya'!B1493</f>
        <v>Tubería PVC CLASE 10 SP P/Agua Fría D=1''</v>
      </c>
      <c r="C160" s="681"/>
      <c r="D160" s="681"/>
      <c r="E160" s="681"/>
      <c r="F160" s="681"/>
      <c r="G160" s="682"/>
      <c r="H160" s="72" t="str">
        <f>'Metrado General - Arcaya'!I1493</f>
        <v>m</v>
      </c>
      <c r="I160" s="73"/>
      <c r="J160" s="88"/>
      <c r="K160" s="89"/>
      <c r="L160" s="90"/>
      <c r="M160" s="91"/>
      <c r="N160" s="91"/>
      <c r="O160" s="88"/>
      <c r="P160" s="89"/>
      <c r="Q160" s="92"/>
      <c r="R160" s="93"/>
      <c r="S160" s="89"/>
      <c r="T160" s="90"/>
      <c r="U160" s="91"/>
      <c r="V160" s="88"/>
      <c r="W160" s="89"/>
      <c r="X160" s="90"/>
      <c r="Y160" s="88"/>
      <c r="Z160" s="89"/>
      <c r="AA160" s="90"/>
      <c r="AB160" s="90"/>
      <c r="AC160" s="74">
        <f>'Metrado General - Arcaya'!H1493</f>
        <v>263.89</v>
      </c>
      <c r="AD160" s="82"/>
      <c r="AE160" s="83"/>
      <c r="AF160" s="83"/>
      <c r="AG160" s="84"/>
      <c r="AH160" s="15"/>
    </row>
    <row r="161" spans="1:34" s="16" customFormat="1" x14ac:dyDescent="0.25">
      <c r="A161" s="71" t="str">
        <f>'Metrado General - Arcaya'!A1497</f>
        <v>1.06.05</v>
      </c>
      <c r="B161" s="683" t="str">
        <f>'Metrado General - Arcaya'!B1497</f>
        <v>ACCESORIOS DE REDES DE AGUA</v>
      </c>
      <c r="C161" s="684"/>
      <c r="D161" s="684"/>
      <c r="E161" s="684"/>
      <c r="F161" s="684"/>
      <c r="G161" s="685"/>
      <c r="H161" s="72"/>
      <c r="I161" s="73"/>
      <c r="J161" s="88"/>
      <c r="K161" s="89"/>
      <c r="L161" s="90"/>
      <c r="M161" s="91"/>
      <c r="N161" s="91"/>
      <c r="O161" s="88"/>
      <c r="P161" s="89"/>
      <c r="Q161" s="92"/>
      <c r="R161" s="93"/>
      <c r="S161" s="89"/>
      <c r="T161" s="90"/>
      <c r="U161" s="91"/>
      <c r="V161" s="88"/>
      <c r="W161" s="89"/>
      <c r="X161" s="90"/>
      <c r="Y161" s="88"/>
      <c r="Z161" s="89"/>
      <c r="AA161" s="90"/>
      <c r="AB161" s="90"/>
      <c r="AC161" s="74"/>
      <c r="AD161" s="82"/>
      <c r="AE161" s="83"/>
      <c r="AF161" s="83"/>
      <c r="AG161" s="84"/>
      <c r="AH161" s="15"/>
    </row>
    <row r="162" spans="1:34" s="16" customFormat="1" x14ac:dyDescent="0.25">
      <c r="A162" s="71" t="str">
        <f>'Metrado General - Arcaya'!A1498</f>
        <v>1.06.05.01</v>
      </c>
      <c r="B162" s="683" t="str">
        <f>'Metrado General - Arcaya'!B1498</f>
        <v>ACCESORIOS EN REDES DE DISTRIBUCIÓN Y ALIMENTACIÓN</v>
      </c>
      <c r="C162" s="684"/>
      <c r="D162" s="684"/>
      <c r="E162" s="684"/>
      <c r="F162" s="684"/>
      <c r="G162" s="685"/>
      <c r="H162" s="72"/>
      <c r="I162" s="73"/>
      <c r="J162" s="88"/>
      <c r="K162" s="89"/>
      <c r="L162" s="90"/>
      <c r="M162" s="91"/>
      <c r="N162" s="91"/>
      <c r="O162" s="88"/>
      <c r="P162" s="89"/>
      <c r="Q162" s="92"/>
      <c r="R162" s="93"/>
      <c r="S162" s="89"/>
      <c r="T162" s="90"/>
      <c r="U162" s="91"/>
      <c r="V162" s="88"/>
      <c r="W162" s="89"/>
      <c r="X162" s="90"/>
      <c r="Y162" s="88"/>
      <c r="Z162" s="89"/>
      <c r="AA162" s="90"/>
      <c r="AB162" s="90"/>
      <c r="AC162" s="74"/>
      <c r="AD162" s="82"/>
      <c r="AE162" s="83"/>
      <c r="AF162" s="83"/>
      <c r="AG162" s="84"/>
      <c r="AH162" s="15"/>
    </row>
    <row r="163" spans="1:34" s="16" customFormat="1" x14ac:dyDescent="0.25">
      <c r="A163" s="87" t="str">
        <f>'Metrado General - Arcaya'!A1499</f>
        <v>1.06.05.01.01</v>
      </c>
      <c r="B163" s="680" t="str">
        <f>'Metrado General - Arcaya'!B1499</f>
        <v>Suministro e instalación de CODO DE 90° PVC AGUA C-10  1''</v>
      </c>
      <c r="C163" s="681"/>
      <c r="D163" s="681"/>
      <c r="E163" s="681"/>
      <c r="F163" s="681"/>
      <c r="G163" s="682"/>
      <c r="H163" s="72" t="str">
        <f>'Metrado General - Arcaya'!I1499</f>
        <v>und</v>
      </c>
      <c r="I163" s="73"/>
      <c r="J163" s="88"/>
      <c r="K163" s="89"/>
      <c r="L163" s="90"/>
      <c r="M163" s="91"/>
      <c r="N163" s="91"/>
      <c r="O163" s="88"/>
      <c r="P163" s="89"/>
      <c r="Q163" s="92"/>
      <c r="R163" s="93"/>
      <c r="S163" s="89"/>
      <c r="T163" s="90"/>
      <c r="U163" s="91"/>
      <c r="V163" s="88"/>
      <c r="W163" s="89"/>
      <c r="X163" s="90"/>
      <c r="Y163" s="88"/>
      <c r="Z163" s="89"/>
      <c r="AA163" s="90"/>
      <c r="AB163" s="90"/>
      <c r="AC163" s="74">
        <f>'Metrado General - Arcaya'!H1499</f>
        <v>6</v>
      </c>
      <c r="AD163" s="82"/>
      <c r="AE163" s="83"/>
      <c r="AF163" s="83"/>
      <c r="AG163" s="84"/>
      <c r="AH163" s="15"/>
    </row>
    <row r="164" spans="1:34" s="16" customFormat="1" x14ac:dyDescent="0.25">
      <c r="A164" s="87" t="str">
        <f>'Metrado General - Arcaya'!A1504</f>
        <v>1.06.05.01.02</v>
      </c>
      <c r="B164" s="680" t="str">
        <f>'Metrado General - Arcaya'!B1504</f>
        <v>Suministro e instalación de CODO DE 90° PVC AGUA C-10  3/4''</v>
      </c>
      <c r="C164" s="681"/>
      <c r="D164" s="681"/>
      <c r="E164" s="681"/>
      <c r="F164" s="681"/>
      <c r="G164" s="682"/>
      <c r="H164" s="72" t="str">
        <f>'Metrado General - Arcaya'!I1504</f>
        <v>und</v>
      </c>
      <c r="I164" s="73"/>
      <c r="J164" s="88"/>
      <c r="K164" s="89"/>
      <c r="L164" s="90"/>
      <c r="M164" s="91"/>
      <c r="N164" s="91"/>
      <c r="O164" s="88"/>
      <c r="P164" s="89"/>
      <c r="Q164" s="92"/>
      <c r="R164" s="93"/>
      <c r="S164" s="89"/>
      <c r="T164" s="90"/>
      <c r="U164" s="91"/>
      <c r="V164" s="88"/>
      <c r="W164" s="89"/>
      <c r="X164" s="90"/>
      <c r="Y164" s="88"/>
      <c r="Z164" s="89"/>
      <c r="AA164" s="90"/>
      <c r="AB164" s="90"/>
      <c r="AC164" s="74">
        <f>'Metrado General - Arcaya'!H1504</f>
        <v>56</v>
      </c>
      <c r="AD164" s="82"/>
      <c r="AE164" s="83"/>
      <c r="AF164" s="83"/>
      <c r="AG164" s="84"/>
      <c r="AH164" s="15"/>
    </row>
    <row r="165" spans="1:34" s="16" customFormat="1" x14ac:dyDescent="0.25">
      <c r="A165" s="87" t="str">
        <f>'Metrado General - Arcaya'!A1509</f>
        <v>1.06.05.01.03</v>
      </c>
      <c r="B165" s="680" t="str">
        <f>'Metrado General - Arcaya'!B1509</f>
        <v>Suministro e instalación de TEE PVC AGUA C-10 1''</v>
      </c>
      <c r="C165" s="681"/>
      <c r="D165" s="681"/>
      <c r="E165" s="681"/>
      <c r="F165" s="681"/>
      <c r="G165" s="682"/>
      <c r="H165" s="72" t="str">
        <f>'Metrado General - Arcaya'!I1509</f>
        <v>und</v>
      </c>
      <c r="I165" s="73"/>
      <c r="J165" s="88"/>
      <c r="K165" s="89"/>
      <c r="L165" s="90"/>
      <c r="M165" s="91"/>
      <c r="N165" s="91"/>
      <c r="O165" s="88"/>
      <c r="P165" s="89"/>
      <c r="Q165" s="92"/>
      <c r="R165" s="93"/>
      <c r="S165" s="89"/>
      <c r="T165" s="90"/>
      <c r="U165" s="91"/>
      <c r="V165" s="88"/>
      <c r="W165" s="89"/>
      <c r="X165" s="90"/>
      <c r="Y165" s="88"/>
      <c r="Z165" s="89"/>
      <c r="AA165" s="90"/>
      <c r="AB165" s="90"/>
      <c r="AC165" s="74">
        <f>'Metrado General - Arcaya'!H1509</f>
        <v>3</v>
      </c>
      <c r="AD165" s="82"/>
      <c r="AE165" s="83"/>
      <c r="AF165" s="83"/>
      <c r="AG165" s="84"/>
      <c r="AH165" s="15"/>
    </row>
    <row r="166" spans="1:34" s="16" customFormat="1" x14ac:dyDescent="0.25">
      <c r="A166" s="87" t="str">
        <f>'Metrado General - Arcaya'!A1513</f>
        <v>1.06.05.01.04</v>
      </c>
      <c r="B166" s="680" t="str">
        <f>'Metrado General - Arcaya'!B1513</f>
        <v>Suministro e instalación de TEE PVC AGUA C-10 3/4''</v>
      </c>
      <c r="C166" s="681"/>
      <c r="D166" s="681"/>
      <c r="E166" s="681"/>
      <c r="F166" s="681"/>
      <c r="G166" s="682"/>
      <c r="H166" s="72" t="str">
        <f>'Metrado General - Arcaya'!I1513</f>
        <v>und</v>
      </c>
      <c r="I166" s="73"/>
      <c r="J166" s="88"/>
      <c r="K166" s="89"/>
      <c r="L166" s="90"/>
      <c r="M166" s="91"/>
      <c r="N166" s="91"/>
      <c r="O166" s="88"/>
      <c r="P166" s="89"/>
      <c r="Q166" s="92"/>
      <c r="R166" s="93"/>
      <c r="S166" s="89"/>
      <c r="T166" s="90"/>
      <c r="U166" s="91"/>
      <c r="V166" s="88"/>
      <c r="W166" s="89"/>
      <c r="X166" s="90"/>
      <c r="Y166" s="88"/>
      <c r="Z166" s="89"/>
      <c r="AA166" s="90"/>
      <c r="AB166" s="90"/>
      <c r="AC166" s="74">
        <f>'Metrado General - Arcaya'!H1513</f>
        <v>44</v>
      </c>
      <c r="AD166" s="82"/>
      <c r="AE166" s="83"/>
      <c r="AF166" s="83"/>
      <c r="AG166" s="84"/>
      <c r="AH166" s="15"/>
    </row>
    <row r="167" spans="1:34" s="16" customFormat="1" x14ac:dyDescent="0.25">
      <c r="A167" s="87" t="str">
        <f>'Metrado General - Arcaya'!A1518</f>
        <v>1.06.05.01.05</v>
      </c>
      <c r="B167" s="680" t="str">
        <f>'Metrado General - Arcaya'!B1518</f>
        <v>Suministro e instalación de CODO DE BRONCE 1/2''</v>
      </c>
      <c r="C167" s="681"/>
      <c r="D167" s="681"/>
      <c r="E167" s="681"/>
      <c r="F167" s="681"/>
      <c r="G167" s="682"/>
      <c r="H167" s="72" t="str">
        <f>'Metrado General - Arcaya'!I1518</f>
        <v>und</v>
      </c>
      <c r="I167" s="73"/>
      <c r="J167" s="88"/>
      <c r="K167" s="89"/>
      <c r="L167" s="90"/>
      <c r="M167" s="91"/>
      <c r="N167" s="91"/>
      <c r="O167" s="88"/>
      <c r="P167" s="89"/>
      <c r="Q167" s="92"/>
      <c r="R167" s="93"/>
      <c r="S167" s="89"/>
      <c r="T167" s="90"/>
      <c r="U167" s="91"/>
      <c r="V167" s="88"/>
      <c r="W167" s="89"/>
      <c r="X167" s="90"/>
      <c r="Y167" s="88"/>
      <c r="Z167" s="89"/>
      <c r="AA167" s="90"/>
      <c r="AB167" s="90"/>
      <c r="AC167" s="74">
        <f>'Metrado General - Arcaya'!H1518</f>
        <v>48</v>
      </c>
      <c r="AD167" s="82"/>
      <c r="AE167" s="83"/>
      <c r="AF167" s="83"/>
      <c r="AG167" s="84"/>
      <c r="AH167" s="15"/>
    </row>
    <row r="168" spans="1:34" s="16" customFormat="1" x14ac:dyDescent="0.25">
      <c r="A168" s="87" t="str">
        <f>'Metrado General - Arcaya'!A1523</f>
        <v>1.06.05.01.06</v>
      </c>
      <c r="B168" s="680" t="str">
        <f>'Metrado General - Arcaya'!B1523</f>
        <v>Suministro e instalación de ADAPTADOR PVC AGUA C-10 3/4''</v>
      </c>
      <c r="C168" s="681"/>
      <c r="D168" s="681"/>
      <c r="E168" s="681"/>
      <c r="F168" s="681"/>
      <c r="G168" s="682"/>
      <c r="H168" s="72" t="str">
        <f>'Metrado General - Arcaya'!I1523</f>
        <v>und</v>
      </c>
      <c r="I168" s="73"/>
      <c r="J168" s="88"/>
      <c r="K168" s="89"/>
      <c r="L168" s="90"/>
      <c r="M168" s="91"/>
      <c r="N168" s="91"/>
      <c r="O168" s="88"/>
      <c r="P168" s="89"/>
      <c r="Q168" s="92"/>
      <c r="R168" s="93"/>
      <c r="S168" s="89"/>
      <c r="T168" s="90"/>
      <c r="U168" s="91"/>
      <c r="V168" s="88"/>
      <c r="W168" s="89"/>
      <c r="X168" s="90"/>
      <c r="Y168" s="88"/>
      <c r="Z168" s="89"/>
      <c r="AA168" s="90"/>
      <c r="AB168" s="90"/>
      <c r="AC168" s="74">
        <f>'Metrado General - Arcaya'!H1523</f>
        <v>48</v>
      </c>
      <c r="AD168" s="82"/>
      <c r="AE168" s="83"/>
      <c r="AF168" s="83"/>
      <c r="AG168" s="84"/>
      <c r="AH168" s="15"/>
    </row>
    <row r="169" spans="1:34" s="16" customFormat="1" x14ac:dyDescent="0.25">
      <c r="A169" s="87" t="str">
        <f>'Metrado General - Arcaya'!A1528</f>
        <v>1.06.05.01.07</v>
      </c>
      <c r="B169" s="680" t="str">
        <f>'Metrado General - Arcaya'!B1528</f>
        <v>Suministro e instalación de NIPLE PVC AGUA C-10 3/4''</v>
      </c>
      <c r="C169" s="681"/>
      <c r="D169" s="681"/>
      <c r="E169" s="681"/>
      <c r="F169" s="681"/>
      <c r="G169" s="682"/>
      <c r="H169" s="72" t="str">
        <f>'Metrado General - Arcaya'!I1528</f>
        <v>und</v>
      </c>
      <c r="I169" s="73"/>
      <c r="J169" s="88"/>
      <c r="K169" s="89"/>
      <c r="L169" s="90"/>
      <c r="M169" s="91"/>
      <c r="N169" s="91"/>
      <c r="O169" s="88"/>
      <c r="P169" s="89"/>
      <c r="Q169" s="92"/>
      <c r="R169" s="93"/>
      <c r="S169" s="89"/>
      <c r="T169" s="90"/>
      <c r="U169" s="91"/>
      <c r="V169" s="88"/>
      <c r="W169" s="89"/>
      <c r="X169" s="90"/>
      <c r="Y169" s="88"/>
      <c r="Z169" s="89"/>
      <c r="AA169" s="90"/>
      <c r="AB169" s="90"/>
      <c r="AC169" s="74">
        <f>'Metrado General - Arcaya'!H1528</f>
        <v>16</v>
      </c>
      <c r="AD169" s="82"/>
      <c r="AE169" s="83"/>
      <c r="AF169" s="83"/>
      <c r="AG169" s="84"/>
      <c r="AH169" s="15"/>
    </row>
    <row r="170" spans="1:34" s="16" customFormat="1" x14ac:dyDescent="0.25">
      <c r="A170" s="87" t="str">
        <f>'Metrado General - Arcaya'!A1532</f>
        <v>1.06.05.01.08</v>
      </c>
      <c r="B170" s="680" t="str">
        <f>'Metrado General - Arcaya'!B1532</f>
        <v>Suministro e instalación de REDUCCIÓN PVC AGUA C-10 1" A 3/4''</v>
      </c>
      <c r="C170" s="681"/>
      <c r="D170" s="681"/>
      <c r="E170" s="681"/>
      <c r="F170" s="681"/>
      <c r="G170" s="682"/>
      <c r="H170" s="72" t="str">
        <f>'Metrado General - Arcaya'!I1532</f>
        <v>und</v>
      </c>
      <c r="I170" s="73"/>
      <c r="J170" s="88"/>
      <c r="K170" s="89"/>
      <c r="L170" s="90"/>
      <c r="M170" s="91"/>
      <c r="N170" s="91"/>
      <c r="O170" s="88"/>
      <c r="P170" s="89"/>
      <c r="Q170" s="92"/>
      <c r="R170" s="93"/>
      <c r="S170" s="89"/>
      <c r="T170" s="90"/>
      <c r="U170" s="91"/>
      <c r="V170" s="88"/>
      <c r="W170" s="89"/>
      <c r="X170" s="90"/>
      <c r="Y170" s="88"/>
      <c r="Z170" s="89"/>
      <c r="AA170" s="90"/>
      <c r="AB170" s="90"/>
      <c r="AC170" s="74">
        <f>'Metrado General - Arcaya'!H1532</f>
        <v>4</v>
      </c>
      <c r="AD170" s="82"/>
      <c r="AE170" s="83"/>
      <c r="AF170" s="83"/>
      <c r="AG170" s="84"/>
      <c r="AH170" s="15"/>
    </row>
    <row r="171" spans="1:34" s="16" customFormat="1" x14ac:dyDescent="0.25">
      <c r="A171" s="87" t="str">
        <f>'Metrado General - Arcaya'!A1536</f>
        <v>1.06.05.01.09</v>
      </c>
      <c r="B171" s="680" t="str">
        <f>'Metrado General - Arcaya'!B1536</f>
        <v>Suministro e instalación de REDUCCIÓN PVC AGUA C-10 3/4" A 1/2''</v>
      </c>
      <c r="C171" s="681"/>
      <c r="D171" s="681"/>
      <c r="E171" s="681"/>
      <c r="F171" s="681"/>
      <c r="G171" s="682"/>
      <c r="H171" s="72" t="str">
        <f>'Metrado General - Arcaya'!I1536</f>
        <v>und</v>
      </c>
      <c r="I171" s="73"/>
      <c r="J171" s="88"/>
      <c r="K171" s="89"/>
      <c r="L171" s="90"/>
      <c r="M171" s="91"/>
      <c r="N171" s="91"/>
      <c r="O171" s="88"/>
      <c r="P171" s="89"/>
      <c r="Q171" s="92"/>
      <c r="R171" s="93"/>
      <c r="S171" s="89"/>
      <c r="T171" s="90"/>
      <c r="U171" s="91"/>
      <c r="V171" s="88"/>
      <c r="W171" s="89"/>
      <c r="X171" s="90"/>
      <c r="Y171" s="88"/>
      <c r="Z171" s="89"/>
      <c r="AA171" s="90"/>
      <c r="AB171" s="90"/>
      <c r="AC171" s="74">
        <f>'Metrado General - Arcaya'!H1536</f>
        <v>48</v>
      </c>
      <c r="AD171" s="82"/>
      <c r="AE171" s="83"/>
      <c r="AF171" s="83"/>
      <c r="AG171" s="84"/>
      <c r="AH171" s="15"/>
    </row>
    <row r="172" spans="1:34" s="16" customFormat="1" x14ac:dyDescent="0.25">
      <c r="A172" s="87" t="str">
        <f>'Metrado General - Arcaya'!A1541</f>
        <v>1.06.05.01.10</v>
      </c>
      <c r="B172" s="680" t="str">
        <f>'Metrado General - Arcaya'!B1541</f>
        <v>Suministro e instalación de  TUBO DE ABASTO PARA INODORO</v>
      </c>
      <c r="C172" s="681"/>
      <c r="D172" s="681"/>
      <c r="E172" s="681"/>
      <c r="F172" s="681"/>
      <c r="G172" s="682"/>
      <c r="H172" s="72" t="str">
        <f>'Metrado General - Arcaya'!I1541</f>
        <v>und</v>
      </c>
      <c r="I172" s="73"/>
      <c r="J172" s="88"/>
      <c r="K172" s="89"/>
      <c r="L172" s="90"/>
      <c r="M172" s="91"/>
      <c r="N172" s="91"/>
      <c r="O172" s="88"/>
      <c r="P172" s="89"/>
      <c r="Q172" s="92"/>
      <c r="R172" s="93"/>
      <c r="S172" s="89"/>
      <c r="T172" s="90"/>
      <c r="U172" s="91"/>
      <c r="V172" s="88"/>
      <c r="W172" s="89"/>
      <c r="X172" s="90"/>
      <c r="Y172" s="88"/>
      <c r="Z172" s="89"/>
      <c r="AA172" s="90"/>
      <c r="AB172" s="90"/>
      <c r="AC172" s="74">
        <f>'Metrado General - Arcaya'!H1541</f>
        <v>32</v>
      </c>
      <c r="AD172" s="82"/>
      <c r="AE172" s="83"/>
      <c r="AF172" s="83"/>
      <c r="AG172" s="84"/>
      <c r="AH172" s="15"/>
    </row>
    <row r="173" spans="1:34" s="16" customFormat="1" x14ac:dyDescent="0.25">
      <c r="A173" s="87" t="str">
        <f>'Metrado General - Arcaya'!A1546</f>
        <v>1.06.05.01.11</v>
      </c>
      <c r="B173" s="680" t="str">
        <f>'Metrado General - Arcaya'!B1546</f>
        <v xml:space="preserve">Suministro e instalación de TRAMPA PLASTICA C/REGISTRO </v>
      </c>
      <c r="C173" s="681"/>
      <c r="D173" s="681"/>
      <c r="E173" s="681"/>
      <c r="F173" s="681"/>
      <c r="G173" s="682"/>
      <c r="H173" s="72" t="str">
        <f>'Metrado General - Arcaya'!I1546</f>
        <v>und</v>
      </c>
      <c r="I173" s="73"/>
      <c r="J173" s="88"/>
      <c r="K173" s="89"/>
      <c r="L173" s="90"/>
      <c r="M173" s="91"/>
      <c r="N173" s="91"/>
      <c r="O173" s="88"/>
      <c r="P173" s="89"/>
      <c r="Q173" s="92"/>
      <c r="R173" s="93"/>
      <c r="S173" s="89"/>
      <c r="T173" s="90"/>
      <c r="U173" s="91"/>
      <c r="V173" s="88"/>
      <c r="W173" s="89"/>
      <c r="X173" s="90"/>
      <c r="Y173" s="88"/>
      <c r="Z173" s="89"/>
      <c r="AA173" s="90"/>
      <c r="AB173" s="90"/>
      <c r="AC173" s="74">
        <f>'Metrado General - Arcaya'!H1546</f>
        <v>4</v>
      </c>
      <c r="AD173" s="82"/>
      <c r="AE173" s="83"/>
      <c r="AF173" s="83"/>
      <c r="AG173" s="84"/>
      <c r="AH173" s="15"/>
    </row>
    <row r="174" spans="1:34" s="16" customFormat="1" x14ac:dyDescent="0.25">
      <c r="A174" s="87" t="str">
        <f>'Metrado General - Arcaya'!A1551</f>
        <v>1.06.05.01.12</v>
      </c>
      <c r="B174" s="680" t="str">
        <f>'Metrado General - Arcaya'!B1551</f>
        <v>Suministro e instalación de UNION UNIVERSAL PVC 3/4"</v>
      </c>
      <c r="C174" s="681"/>
      <c r="D174" s="681"/>
      <c r="E174" s="681"/>
      <c r="F174" s="681"/>
      <c r="G174" s="682"/>
      <c r="H174" s="72" t="str">
        <f>'Metrado General - Arcaya'!I1551</f>
        <v>und</v>
      </c>
      <c r="I174" s="73"/>
      <c r="J174" s="88"/>
      <c r="K174" s="89"/>
      <c r="L174" s="90"/>
      <c r="M174" s="91"/>
      <c r="N174" s="91"/>
      <c r="O174" s="88"/>
      <c r="P174" s="89"/>
      <c r="Q174" s="92"/>
      <c r="R174" s="93"/>
      <c r="S174" s="89"/>
      <c r="T174" s="90"/>
      <c r="U174" s="91"/>
      <c r="V174" s="88"/>
      <c r="W174" s="89"/>
      <c r="X174" s="90"/>
      <c r="Y174" s="88"/>
      <c r="Z174" s="89"/>
      <c r="AA174" s="90"/>
      <c r="AB174" s="90"/>
      <c r="AC174" s="74">
        <f>'Metrado General - Arcaya'!H1551</f>
        <v>8</v>
      </c>
      <c r="AD174" s="82"/>
      <c r="AE174" s="83"/>
      <c r="AF174" s="83"/>
      <c r="AG174" s="84"/>
      <c r="AH174" s="15"/>
    </row>
    <row r="175" spans="1:34" s="16" customFormat="1" x14ac:dyDescent="0.25">
      <c r="A175" s="71" t="str">
        <f>'Metrado General - Arcaya'!A1555</f>
        <v>1.06.06</v>
      </c>
      <c r="B175" s="683" t="str">
        <f>'Metrado General - Arcaya'!B1555</f>
        <v>VÁLVULAS</v>
      </c>
      <c r="C175" s="684"/>
      <c r="D175" s="684"/>
      <c r="E175" s="684"/>
      <c r="F175" s="684"/>
      <c r="G175" s="685"/>
      <c r="H175" s="72"/>
      <c r="I175" s="73"/>
      <c r="J175" s="88"/>
      <c r="K175" s="89"/>
      <c r="L175" s="90"/>
      <c r="M175" s="91"/>
      <c r="N175" s="91"/>
      <c r="O175" s="88"/>
      <c r="P175" s="89"/>
      <c r="Q175" s="92"/>
      <c r="R175" s="93"/>
      <c r="S175" s="89"/>
      <c r="T175" s="90"/>
      <c r="U175" s="91"/>
      <c r="V175" s="88"/>
      <c r="W175" s="89"/>
      <c r="X175" s="90"/>
      <c r="Y175" s="88"/>
      <c r="Z175" s="89"/>
      <c r="AA175" s="90"/>
      <c r="AB175" s="90"/>
      <c r="AC175" s="74"/>
      <c r="AD175" s="82"/>
      <c r="AE175" s="83"/>
      <c r="AF175" s="83"/>
      <c r="AG175" s="84"/>
      <c r="AH175" s="15"/>
    </row>
    <row r="176" spans="1:34" s="16" customFormat="1" x14ac:dyDescent="0.25">
      <c r="A176" s="87" t="str">
        <f>'Metrado General - Arcaya'!A1556</f>
        <v>1.06.06.01</v>
      </c>
      <c r="B176" s="680" t="str">
        <f>'Metrado General - Arcaya'!B1556</f>
        <v>Válvula compuerta Pesada de Bronce de 3/4''</v>
      </c>
      <c r="C176" s="681"/>
      <c r="D176" s="681"/>
      <c r="E176" s="681"/>
      <c r="F176" s="681"/>
      <c r="G176" s="682"/>
      <c r="H176" s="72" t="str">
        <f>'Metrado General - Arcaya'!I1556</f>
        <v>und</v>
      </c>
      <c r="I176" s="73"/>
      <c r="J176" s="88"/>
      <c r="K176" s="89"/>
      <c r="L176" s="90"/>
      <c r="M176" s="91"/>
      <c r="N176" s="91"/>
      <c r="O176" s="88"/>
      <c r="P176" s="89"/>
      <c r="Q176" s="92"/>
      <c r="R176" s="93"/>
      <c r="S176" s="89"/>
      <c r="T176" s="90"/>
      <c r="U176" s="91"/>
      <c r="V176" s="88"/>
      <c r="W176" s="89"/>
      <c r="X176" s="90"/>
      <c r="Y176" s="88"/>
      <c r="Z176" s="89"/>
      <c r="AA176" s="90"/>
      <c r="AB176" s="90"/>
      <c r="AC176" s="74">
        <f>'Metrado General - Arcaya'!H1556</f>
        <v>4</v>
      </c>
      <c r="AD176" s="82"/>
      <c r="AE176" s="83"/>
      <c r="AF176" s="83"/>
      <c r="AG176" s="84"/>
      <c r="AH176" s="15"/>
    </row>
    <row r="177" spans="1:34" s="16" customFormat="1" x14ac:dyDescent="0.25">
      <c r="A177" s="71" t="str">
        <f>'Metrado General - Arcaya'!A1560</f>
        <v>1.06.07</v>
      </c>
      <c r="B177" s="683" t="str">
        <f>'Metrado General - Arcaya'!B1560</f>
        <v xml:space="preserve">ALMACENAMIENTO DE AGUA </v>
      </c>
      <c r="C177" s="684"/>
      <c r="D177" s="684"/>
      <c r="E177" s="684"/>
      <c r="F177" s="684"/>
      <c r="G177" s="685"/>
      <c r="H177" s="94"/>
      <c r="I177" s="73"/>
      <c r="J177" s="88"/>
      <c r="K177" s="89"/>
      <c r="L177" s="90"/>
      <c r="M177" s="91"/>
      <c r="N177" s="91"/>
      <c r="O177" s="88"/>
      <c r="P177" s="89"/>
      <c r="Q177" s="92"/>
      <c r="R177" s="93"/>
      <c r="S177" s="89"/>
      <c r="T177" s="90"/>
      <c r="U177" s="91"/>
      <c r="V177" s="88"/>
      <c r="W177" s="89"/>
      <c r="X177" s="90"/>
      <c r="Y177" s="88"/>
      <c r="Z177" s="89"/>
      <c r="AA177" s="90"/>
      <c r="AB177" s="90"/>
      <c r="AC177" s="95"/>
      <c r="AD177" s="82"/>
      <c r="AE177" s="83"/>
      <c r="AF177" s="83"/>
      <c r="AG177" s="84"/>
      <c r="AH177" s="15"/>
    </row>
    <row r="178" spans="1:34" s="16" customFormat="1" x14ac:dyDescent="0.25">
      <c r="A178" s="87" t="str">
        <f>'Metrado General - Arcaya'!A1561</f>
        <v>1.06.07.01</v>
      </c>
      <c r="B178" s="680" t="str">
        <f>'Metrado General - Arcaya'!B1561</f>
        <v>Mantenimiento y/o adecuación de cisterna existente</v>
      </c>
      <c r="C178" s="681"/>
      <c r="D178" s="681"/>
      <c r="E178" s="681"/>
      <c r="F178" s="681"/>
      <c r="G178" s="682"/>
      <c r="H178" s="72" t="str">
        <f>'Metrado General - Arcaya'!I1561</f>
        <v>GLB</v>
      </c>
      <c r="I178" s="73"/>
      <c r="J178" s="88"/>
      <c r="K178" s="89"/>
      <c r="L178" s="90"/>
      <c r="M178" s="91"/>
      <c r="N178" s="91"/>
      <c r="O178" s="88"/>
      <c r="P178" s="89"/>
      <c r="Q178" s="92"/>
      <c r="R178" s="93"/>
      <c r="S178" s="89"/>
      <c r="T178" s="90"/>
      <c r="U178" s="91"/>
      <c r="V178" s="88"/>
      <c r="W178" s="89"/>
      <c r="X178" s="90"/>
      <c r="Y178" s="88"/>
      <c r="Z178" s="89"/>
      <c r="AA178" s="90"/>
      <c r="AB178" s="90"/>
      <c r="AC178" s="74">
        <f>'Metrado General - Arcaya'!H1561</f>
        <v>1</v>
      </c>
      <c r="AD178" s="82"/>
      <c r="AE178" s="83"/>
      <c r="AF178" s="83"/>
      <c r="AG178" s="84"/>
      <c r="AH178" s="15"/>
    </row>
    <row r="179" spans="1:34" s="16" customFormat="1" x14ac:dyDescent="0.25">
      <c r="A179" s="87" t="str">
        <f>'Metrado General - Arcaya'!A1565</f>
        <v>1.06.07.02</v>
      </c>
      <c r="B179" s="680" t="str">
        <f>'Metrado General - Arcaya'!B1565</f>
        <v>Mantenimiento y/o adecuación de cisterna</v>
      </c>
      <c r="C179" s="681"/>
      <c r="D179" s="681"/>
      <c r="E179" s="681"/>
      <c r="F179" s="681"/>
      <c r="G179" s="682"/>
      <c r="H179" s="72" t="str">
        <f>'Metrado General - Arcaya'!I1565</f>
        <v>GLB</v>
      </c>
      <c r="I179" s="73"/>
      <c r="J179" s="88"/>
      <c r="K179" s="89"/>
      <c r="L179" s="90"/>
      <c r="M179" s="91"/>
      <c r="N179" s="91"/>
      <c r="O179" s="88"/>
      <c r="P179" s="89"/>
      <c r="Q179" s="92"/>
      <c r="R179" s="93"/>
      <c r="S179" s="89"/>
      <c r="T179" s="90"/>
      <c r="U179" s="91"/>
      <c r="V179" s="88"/>
      <c r="W179" s="89"/>
      <c r="X179" s="90"/>
      <c r="Y179" s="88"/>
      <c r="Z179" s="89"/>
      <c r="AA179" s="90"/>
      <c r="AB179" s="90"/>
      <c r="AC179" s="74">
        <f>'Metrado General - Arcaya'!H1565</f>
        <v>1</v>
      </c>
      <c r="AD179" s="82"/>
      <c r="AE179" s="83"/>
      <c r="AF179" s="83"/>
      <c r="AG179" s="84"/>
      <c r="AH179" s="15"/>
    </row>
    <row r="180" spans="1:34" s="16" customFormat="1" x14ac:dyDescent="0.25">
      <c r="A180" s="109" t="str">
        <f>'Metrado General - Arcaya'!A1569</f>
        <v>1.06.08</v>
      </c>
      <c r="B180" s="517" t="str">
        <f>'Metrado General - Arcaya'!B1569</f>
        <v>DESAGÜE Y VENTILACIÓN</v>
      </c>
      <c r="C180" s="518"/>
      <c r="D180" s="518"/>
      <c r="E180" s="518"/>
      <c r="F180" s="518"/>
      <c r="G180" s="519"/>
      <c r="H180" s="134"/>
      <c r="I180" s="142"/>
      <c r="J180" s="136"/>
      <c r="K180" s="136"/>
      <c r="L180" s="136"/>
      <c r="M180" s="136"/>
      <c r="N180" s="136"/>
      <c r="O180" s="136"/>
      <c r="P180" s="136"/>
      <c r="Q180" s="134"/>
      <c r="R180" s="137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4"/>
      <c r="AD180" s="82"/>
      <c r="AE180" s="83"/>
      <c r="AF180" s="83"/>
      <c r="AG180" s="84"/>
      <c r="AH180" s="15"/>
    </row>
    <row r="181" spans="1:34" s="16" customFormat="1" x14ac:dyDescent="0.25">
      <c r="A181" s="87" t="str">
        <f>'Metrado General - Arcaya'!A1570</f>
        <v>1.06.08.01</v>
      </c>
      <c r="B181" s="680" t="str">
        <f>'Metrado General - Arcaya'!B1570</f>
        <v>Salida de desagüe de PVC 4"</v>
      </c>
      <c r="C181" s="681"/>
      <c r="D181" s="681"/>
      <c r="E181" s="681"/>
      <c r="F181" s="681"/>
      <c r="G181" s="682"/>
      <c r="H181" s="72" t="str">
        <f>'Metrado General - Arcaya'!I1570</f>
        <v>pto</v>
      </c>
      <c r="I181" s="73"/>
      <c r="J181" s="88"/>
      <c r="K181" s="89"/>
      <c r="L181" s="90"/>
      <c r="M181" s="91"/>
      <c r="N181" s="91"/>
      <c r="O181" s="88"/>
      <c r="P181" s="89"/>
      <c r="Q181" s="92"/>
      <c r="R181" s="93"/>
      <c r="S181" s="89"/>
      <c r="T181" s="90"/>
      <c r="U181" s="91"/>
      <c r="V181" s="88"/>
      <c r="W181" s="89"/>
      <c r="X181" s="90"/>
      <c r="Y181" s="88"/>
      <c r="Z181" s="89"/>
      <c r="AA181" s="90"/>
      <c r="AB181" s="90"/>
      <c r="AC181" s="74">
        <f>'Metrado General - Arcaya'!H1570</f>
        <v>32</v>
      </c>
      <c r="AD181" s="82"/>
      <c r="AE181" s="83"/>
      <c r="AF181" s="83"/>
      <c r="AG181" s="84"/>
      <c r="AH181" s="15"/>
    </row>
    <row r="182" spans="1:34" s="16" customFormat="1" x14ac:dyDescent="0.25">
      <c r="A182" s="87" t="str">
        <f>'Metrado General - Arcaya'!A1575</f>
        <v>1.06.08.02</v>
      </c>
      <c r="B182" s="680" t="str">
        <f>'Metrado General - Arcaya'!B1575</f>
        <v>Salida de desagüe de PVC 2"</v>
      </c>
      <c r="C182" s="681"/>
      <c r="D182" s="681"/>
      <c r="E182" s="681"/>
      <c r="F182" s="681"/>
      <c r="G182" s="682"/>
      <c r="H182" s="72" t="str">
        <f>'Metrado General - Arcaya'!I1575</f>
        <v>pto</v>
      </c>
      <c r="I182" s="73"/>
      <c r="J182" s="88"/>
      <c r="K182" s="89"/>
      <c r="L182" s="90"/>
      <c r="M182" s="91"/>
      <c r="N182" s="91"/>
      <c r="O182" s="88"/>
      <c r="P182" s="89"/>
      <c r="Q182" s="92"/>
      <c r="R182" s="93"/>
      <c r="S182" s="89"/>
      <c r="T182" s="90"/>
      <c r="U182" s="91"/>
      <c r="V182" s="88"/>
      <c r="W182" s="89"/>
      <c r="X182" s="90"/>
      <c r="Y182" s="88"/>
      <c r="Z182" s="89"/>
      <c r="AA182" s="90"/>
      <c r="AB182" s="90"/>
      <c r="AC182" s="74">
        <f>'Metrado General - Arcaya'!H1575</f>
        <v>8</v>
      </c>
      <c r="AD182" s="82"/>
      <c r="AE182" s="83"/>
      <c r="AF182" s="83"/>
      <c r="AG182" s="84"/>
      <c r="AH182" s="15"/>
    </row>
    <row r="183" spans="1:34" s="16" customFormat="1" x14ac:dyDescent="0.25">
      <c r="A183" s="71" t="str">
        <f>'Metrado General - Arcaya'!A1580</f>
        <v>1.06.09</v>
      </c>
      <c r="B183" s="683" t="str">
        <f>'Metrado General - Arcaya'!B1580</f>
        <v>REDES DE DERIVACIÓN</v>
      </c>
      <c r="C183" s="684"/>
      <c r="D183" s="684"/>
      <c r="E183" s="684"/>
      <c r="F183" s="684"/>
      <c r="G183" s="685"/>
      <c r="H183" s="94"/>
      <c r="I183" s="73"/>
      <c r="J183" s="88"/>
      <c r="K183" s="89"/>
      <c r="L183" s="90"/>
      <c r="M183" s="91"/>
      <c r="N183" s="91"/>
      <c r="O183" s="88"/>
      <c r="P183" s="89"/>
      <c r="Q183" s="92"/>
      <c r="R183" s="93"/>
      <c r="S183" s="89"/>
      <c r="T183" s="90"/>
      <c r="U183" s="91"/>
      <c r="V183" s="88"/>
      <c r="W183" s="89"/>
      <c r="X183" s="90"/>
      <c r="Y183" s="88"/>
      <c r="Z183" s="89"/>
      <c r="AA183" s="90"/>
      <c r="AB183" s="90"/>
      <c r="AC183" s="95"/>
      <c r="AD183" s="82"/>
      <c r="AE183" s="83"/>
      <c r="AF183" s="83"/>
      <c r="AG183" s="84"/>
      <c r="AH183" s="15"/>
    </row>
    <row r="184" spans="1:34" s="16" customFormat="1" x14ac:dyDescent="0.25">
      <c r="A184" s="87" t="str">
        <f>'Metrado General - Arcaya'!A1581</f>
        <v>1.06.09.01</v>
      </c>
      <c r="B184" s="680" t="str">
        <f>'Metrado General - Arcaya'!B1581</f>
        <v xml:space="preserve">Tubería de desagüe de PVC SAP D = 4" </v>
      </c>
      <c r="C184" s="681"/>
      <c r="D184" s="681"/>
      <c r="E184" s="681"/>
      <c r="F184" s="681"/>
      <c r="G184" s="682"/>
      <c r="H184" s="72" t="str">
        <f>'Metrado General - Arcaya'!I1581</f>
        <v>m</v>
      </c>
      <c r="I184" s="73"/>
      <c r="J184" s="88"/>
      <c r="K184" s="89"/>
      <c r="L184" s="90"/>
      <c r="M184" s="91"/>
      <c r="N184" s="91"/>
      <c r="O184" s="88"/>
      <c r="P184" s="89"/>
      <c r="Q184" s="92"/>
      <c r="R184" s="93"/>
      <c r="S184" s="89"/>
      <c r="T184" s="90"/>
      <c r="U184" s="91"/>
      <c r="V184" s="88"/>
      <c r="W184" s="89"/>
      <c r="X184" s="90"/>
      <c r="Y184" s="88"/>
      <c r="Z184" s="89"/>
      <c r="AA184" s="90"/>
      <c r="AB184" s="90"/>
      <c r="AC184" s="74">
        <f>'Metrado General - Arcaya'!H1581</f>
        <v>56.78</v>
      </c>
      <c r="AD184" s="82"/>
      <c r="AE184" s="83"/>
      <c r="AF184" s="83"/>
      <c r="AG184" s="84"/>
      <c r="AH184" s="15"/>
    </row>
    <row r="185" spans="1:34" s="16" customFormat="1" x14ac:dyDescent="0.25">
      <c r="A185" s="87" t="str">
        <f>'Metrado General - Arcaya'!A1586</f>
        <v>1.06.09.02</v>
      </c>
      <c r="B185" s="680" t="str">
        <f>'Metrado General - Arcaya'!B1586</f>
        <v xml:space="preserve">Tubería de desagüe de PVC SAP D = 2" </v>
      </c>
      <c r="C185" s="681"/>
      <c r="D185" s="681"/>
      <c r="E185" s="681"/>
      <c r="F185" s="681"/>
      <c r="G185" s="682"/>
      <c r="H185" s="72" t="str">
        <f>'Metrado General - Arcaya'!I1586</f>
        <v>m</v>
      </c>
      <c r="I185" s="73"/>
      <c r="J185" s="88"/>
      <c r="K185" s="89"/>
      <c r="L185" s="90"/>
      <c r="M185" s="91"/>
      <c r="N185" s="91"/>
      <c r="O185" s="88"/>
      <c r="P185" s="89"/>
      <c r="Q185" s="92"/>
      <c r="R185" s="93"/>
      <c r="S185" s="89"/>
      <c r="T185" s="90"/>
      <c r="U185" s="91"/>
      <c r="V185" s="88"/>
      <c r="W185" s="89"/>
      <c r="X185" s="90"/>
      <c r="Y185" s="88"/>
      <c r="Z185" s="89"/>
      <c r="AA185" s="90"/>
      <c r="AB185" s="90"/>
      <c r="AC185" s="74">
        <f>'Metrado General - Arcaya'!H1586</f>
        <v>21.09</v>
      </c>
      <c r="AD185" s="82"/>
      <c r="AE185" s="83"/>
      <c r="AF185" s="83"/>
      <c r="AG185" s="84"/>
      <c r="AH185" s="15"/>
    </row>
    <row r="186" spans="1:34" s="16" customFormat="1" x14ac:dyDescent="0.25">
      <c r="A186" s="71" t="str">
        <f>'Metrado General - Arcaya'!A1595</f>
        <v>1.06.10</v>
      </c>
      <c r="B186" s="683" t="str">
        <f>'Metrado General - Arcaya'!B1595</f>
        <v>REDES COLECTORAS</v>
      </c>
      <c r="C186" s="684"/>
      <c r="D186" s="684"/>
      <c r="E186" s="684"/>
      <c r="F186" s="684"/>
      <c r="G186" s="685"/>
      <c r="H186" s="72"/>
      <c r="I186" s="73"/>
      <c r="J186" s="88"/>
      <c r="K186" s="89"/>
      <c r="L186" s="90"/>
      <c r="M186" s="91"/>
      <c r="N186" s="91"/>
      <c r="O186" s="88"/>
      <c r="P186" s="89"/>
      <c r="Q186" s="92"/>
      <c r="R186" s="93"/>
      <c r="S186" s="89"/>
      <c r="T186" s="90"/>
      <c r="U186" s="91"/>
      <c r="V186" s="88"/>
      <c r="W186" s="89"/>
      <c r="X186" s="90"/>
      <c r="Y186" s="88"/>
      <c r="Z186" s="89"/>
      <c r="AA186" s="90"/>
      <c r="AB186" s="90"/>
      <c r="AC186" s="74"/>
      <c r="AD186" s="82"/>
      <c r="AE186" s="83"/>
      <c r="AF186" s="83"/>
      <c r="AG186" s="84"/>
      <c r="AH186" s="15"/>
    </row>
    <row r="187" spans="1:34" s="16" customFormat="1" x14ac:dyDescent="0.25">
      <c r="A187" s="87" t="str">
        <f>'Metrado General - Arcaya'!A1596</f>
        <v>1.06.10.01</v>
      </c>
      <c r="B187" s="680" t="str">
        <f>'Metrado General - Arcaya'!B1596</f>
        <v xml:space="preserve">Tubería de desagüe de PVC SAP D = 4" </v>
      </c>
      <c r="C187" s="681"/>
      <c r="D187" s="681"/>
      <c r="E187" s="681"/>
      <c r="F187" s="681"/>
      <c r="G187" s="682"/>
      <c r="H187" s="72" t="str">
        <f>'Metrado General - Arcaya'!I1596</f>
        <v>m</v>
      </c>
      <c r="I187" s="73"/>
      <c r="J187" s="88"/>
      <c r="K187" s="89"/>
      <c r="L187" s="90"/>
      <c r="M187" s="91"/>
      <c r="N187" s="91"/>
      <c r="O187" s="88"/>
      <c r="P187" s="89"/>
      <c r="Q187" s="92"/>
      <c r="R187" s="93"/>
      <c r="S187" s="89"/>
      <c r="T187" s="90"/>
      <c r="U187" s="91"/>
      <c r="V187" s="88"/>
      <c r="W187" s="89"/>
      <c r="X187" s="90"/>
      <c r="Y187" s="88"/>
      <c r="Z187" s="89"/>
      <c r="AA187" s="90"/>
      <c r="AB187" s="90"/>
      <c r="AC187" s="74">
        <f>'Metrado General - Arcaya'!H1596</f>
        <v>171.26</v>
      </c>
      <c r="AD187" s="82"/>
      <c r="AE187" s="83"/>
      <c r="AF187" s="83"/>
      <c r="AG187" s="84"/>
      <c r="AH187" s="15"/>
    </row>
    <row r="188" spans="1:34" s="16" customFormat="1" x14ac:dyDescent="0.25">
      <c r="A188" s="71" t="str">
        <f>'Metrado General - Arcaya'!A1601</f>
        <v>1.06.11</v>
      </c>
      <c r="B188" s="683" t="str">
        <f>'Metrado General - Arcaya'!B1601</f>
        <v>ACCESORIOS DE REDES DE DESAGUE</v>
      </c>
      <c r="C188" s="684"/>
      <c r="D188" s="684"/>
      <c r="E188" s="684"/>
      <c r="F188" s="684"/>
      <c r="G188" s="685"/>
      <c r="H188" s="72"/>
      <c r="I188" s="73"/>
      <c r="J188" s="88"/>
      <c r="K188" s="89"/>
      <c r="L188" s="90"/>
      <c r="M188" s="91"/>
      <c r="N188" s="91"/>
      <c r="O188" s="88"/>
      <c r="P188" s="89"/>
      <c r="Q188" s="92"/>
      <c r="R188" s="93"/>
      <c r="S188" s="89"/>
      <c r="T188" s="90"/>
      <c r="U188" s="91"/>
      <c r="V188" s="88"/>
      <c r="W188" s="89"/>
      <c r="X188" s="90"/>
      <c r="Y188" s="88"/>
      <c r="Z188" s="89"/>
      <c r="AA188" s="90"/>
      <c r="AB188" s="90"/>
      <c r="AC188" s="74"/>
      <c r="AD188" s="82"/>
      <c r="AE188" s="83"/>
      <c r="AF188" s="83"/>
      <c r="AG188" s="84"/>
      <c r="AH188" s="15"/>
    </row>
    <row r="189" spans="1:34" s="16" customFormat="1" x14ac:dyDescent="0.25">
      <c r="A189" s="87" t="str">
        <f>'Metrado General - Arcaya'!A1602</f>
        <v>1.06.11.01</v>
      </c>
      <c r="B189" s="680" t="str">
        <f>'Metrado General - Arcaya'!B1602</f>
        <v>Suministro e instalación de CODO DE 90° PVC 4''</v>
      </c>
      <c r="C189" s="681"/>
      <c r="D189" s="681"/>
      <c r="E189" s="681"/>
      <c r="F189" s="681"/>
      <c r="G189" s="682"/>
      <c r="H189" s="72" t="str">
        <f>'Metrado General - Arcaya'!I1602</f>
        <v>und</v>
      </c>
      <c r="I189" s="73"/>
      <c r="J189" s="88"/>
      <c r="K189" s="89"/>
      <c r="L189" s="90"/>
      <c r="M189" s="91"/>
      <c r="N189" s="91"/>
      <c r="O189" s="88"/>
      <c r="P189" s="89"/>
      <c r="Q189" s="92"/>
      <c r="R189" s="93"/>
      <c r="S189" s="89"/>
      <c r="T189" s="90"/>
      <c r="U189" s="91"/>
      <c r="V189" s="88"/>
      <c r="W189" s="89"/>
      <c r="X189" s="90"/>
      <c r="Y189" s="88"/>
      <c r="Z189" s="89"/>
      <c r="AA189" s="90"/>
      <c r="AB189" s="90"/>
      <c r="AC189" s="74">
        <f>'Metrado General - Arcaya'!H1602</f>
        <v>32</v>
      </c>
      <c r="AD189" s="82"/>
      <c r="AE189" s="83"/>
      <c r="AF189" s="83"/>
      <c r="AG189" s="84"/>
      <c r="AH189" s="15"/>
    </row>
    <row r="190" spans="1:34" s="16" customFormat="1" x14ac:dyDescent="0.25">
      <c r="A190" s="87" t="str">
        <f>'Metrado General - Arcaya'!A1606</f>
        <v>1.06.11.02</v>
      </c>
      <c r="B190" s="680" t="str">
        <f>'Metrado General - Arcaya'!B1606</f>
        <v>Suministro e instalación de CODO DE 90° PVC 2''</v>
      </c>
      <c r="C190" s="681"/>
      <c r="D190" s="681"/>
      <c r="E190" s="681"/>
      <c r="F190" s="681"/>
      <c r="G190" s="682"/>
      <c r="H190" s="72" t="str">
        <f>'Metrado General - Arcaya'!I1606</f>
        <v>und</v>
      </c>
      <c r="I190" s="73"/>
      <c r="J190" s="88"/>
      <c r="K190" s="89"/>
      <c r="L190" s="90"/>
      <c r="M190" s="91"/>
      <c r="N190" s="91"/>
      <c r="O190" s="88"/>
      <c r="P190" s="89"/>
      <c r="Q190" s="92"/>
      <c r="R190" s="93"/>
      <c r="S190" s="89"/>
      <c r="T190" s="90"/>
      <c r="U190" s="91"/>
      <c r="V190" s="88"/>
      <c r="W190" s="89"/>
      <c r="X190" s="90"/>
      <c r="Y190" s="88"/>
      <c r="Z190" s="89"/>
      <c r="AA190" s="90"/>
      <c r="AB190" s="90"/>
      <c r="AC190" s="74">
        <f>'Metrado General - Arcaya'!H1606</f>
        <v>12</v>
      </c>
      <c r="AD190" s="82"/>
      <c r="AE190" s="83"/>
      <c r="AF190" s="83"/>
      <c r="AG190" s="84"/>
      <c r="AH190" s="15"/>
    </row>
    <row r="191" spans="1:34" s="16" customFormat="1" x14ac:dyDescent="0.25">
      <c r="A191" s="87" t="str">
        <f>'Metrado General - Arcaya'!A1611</f>
        <v>1.06.11.03</v>
      </c>
      <c r="B191" s="680" t="str">
        <f>'Metrado General - Arcaya'!B1611</f>
        <v>Suministro e instalación de REGISTRO DE BRONCE 4''</v>
      </c>
      <c r="C191" s="681"/>
      <c r="D191" s="681"/>
      <c r="E191" s="681"/>
      <c r="F191" s="681"/>
      <c r="G191" s="682"/>
      <c r="H191" s="72" t="str">
        <f>'Metrado General - Arcaya'!I1611</f>
        <v>und</v>
      </c>
      <c r="I191" s="73"/>
      <c r="J191" s="88"/>
      <c r="K191" s="89"/>
      <c r="L191" s="90"/>
      <c r="M191" s="91"/>
      <c r="N191" s="91"/>
      <c r="O191" s="88"/>
      <c r="P191" s="89"/>
      <c r="Q191" s="92"/>
      <c r="R191" s="93"/>
      <c r="S191" s="89"/>
      <c r="T191" s="90"/>
      <c r="U191" s="91"/>
      <c r="V191" s="88"/>
      <c r="W191" s="89"/>
      <c r="X191" s="90"/>
      <c r="Y191" s="88"/>
      <c r="Z191" s="89"/>
      <c r="AA191" s="90"/>
      <c r="AB191" s="90"/>
      <c r="AC191" s="74">
        <f>'Metrado General - Arcaya'!H1611</f>
        <v>4</v>
      </c>
      <c r="AD191" s="82"/>
      <c r="AE191" s="83"/>
      <c r="AF191" s="83"/>
      <c r="AG191" s="84"/>
      <c r="AH191" s="15"/>
    </row>
    <row r="192" spans="1:34" s="16" customFormat="1" x14ac:dyDescent="0.25">
      <c r="A192" s="87" t="str">
        <f>'Metrado General - Arcaya'!A1615</f>
        <v>1.06.11.04</v>
      </c>
      <c r="B192" s="680" t="str">
        <f>'Metrado General - Arcaya'!B1615</f>
        <v>Suministro e instalación de SUMIDERO CON TRAMPA P</v>
      </c>
      <c r="C192" s="681"/>
      <c r="D192" s="681"/>
      <c r="E192" s="681"/>
      <c r="F192" s="681"/>
      <c r="G192" s="682"/>
      <c r="H192" s="72" t="str">
        <f>'Metrado General - Arcaya'!I1615</f>
        <v>und</v>
      </c>
      <c r="I192" s="73"/>
      <c r="J192" s="88"/>
      <c r="K192" s="89"/>
      <c r="L192" s="90"/>
      <c r="M192" s="91"/>
      <c r="N192" s="91"/>
      <c r="O192" s="88"/>
      <c r="P192" s="89"/>
      <c r="Q192" s="92"/>
      <c r="R192" s="93"/>
      <c r="S192" s="89"/>
      <c r="T192" s="90"/>
      <c r="U192" s="91"/>
      <c r="V192" s="88"/>
      <c r="W192" s="89"/>
      <c r="X192" s="90"/>
      <c r="Y192" s="88"/>
      <c r="Z192" s="89"/>
      <c r="AA192" s="90"/>
      <c r="AB192" s="90"/>
      <c r="AC192" s="74">
        <f>'Metrado General - Arcaya'!H1615</f>
        <v>4</v>
      </c>
      <c r="AD192" s="82"/>
      <c r="AE192" s="83"/>
      <c r="AF192" s="83"/>
      <c r="AG192" s="84"/>
      <c r="AH192" s="15"/>
    </row>
    <row r="193" spans="1:34" s="16" customFormat="1" x14ac:dyDescent="0.25">
      <c r="A193" s="87" t="str">
        <f>'Metrado General - Arcaya'!A1619</f>
        <v>1.06.11.05</v>
      </c>
      <c r="B193" s="680" t="str">
        <f>'Metrado General - Arcaya'!B1619</f>
        <v>Suministro e instalación de CODO 4" A 2"</v>
      </c>
      <c r="C193" s="681"/>
      <c r="D193" s="681"/>
      <c r="E193" s="681"/>
      <c r="F193" s="681"/>
      <c r="G193" s="682"/>
      <c r="H193" s="72" t="str">
        <f>'Metrado General - Arcaya'!I1619</f>
        <v>und</v>
      </c>
      <c r="I193" s="73"/>
      <c r="J193" s="88"/>
      <c r="K193" s="89"/>
      <c r="L193" s="90"/>
      <c r="M193" s="91"/>
      <c r="N193" s="91"/>
      <c r="O193" s="88"/>
      <c r="P193" s="89"/>
      <c r="Q193" s="92"/>
      <c r="R193" s="93"/>
      <c r="S193" s="89"/>
      <c r="T193" s="90"/>
      <c r="U193" s="91"/>
      <c r="V193" s="88"/>
      <c r="W193" s="89"/>
      <c r="X193" s="90"/>
      <c r="Y193" s="88"/>
      <c r="Z193" s="89"/>
      <c r="AA193" s="90"/>
      <c r="AB193" s="90"/>
      <c r="AC193" s="74">
        <f>'Metrado General - Arcaya'!H1619</f>
        <v>4</v>
      </c>
      <c r="AD193" s="82"/>
      <c r="AE193" s="83"/>
      <c r="AF193" s="83"/>
      <c r="AG193" s="84"/>
      <c r="AH193" s="15"/>
    </row>
    <row r="194" spans="1:34" s="16" customFormat="1" x14ac:dyDescent="0.25">
      <c r="A194" s="87" t="str">
        <f>'Metrado General - Arcaya'!A1623</f>
        <v>1.06.11.06</v>
      </c>
      <c r="B194" s="680" t="str">
        <f>'Metrado General - Arcaya'!B1623</f>
        <v>Suministro e instalación de YEE SIMPLE 4"</v>
      </c>
      <c r="C194" s="681"/>
      <c r="D194" s="681"/>
      <c r="E194" s="681"/>
      <c r="F194" s="681"/>
      <c r="G194" s="682"/>
      <c r="H194" s="72" t="str">
        <f>'Metrado General - Arcaya'!I1623</f>
        <v>und</v>
      </c>
      <c r="I194" s="73"/>
      <c r="J194" s="88"/>
      <c r="K194" s="89"/>
      <c r="L194" s="90"/>
      <c r="M194" s="91"/>
      <c r="N194" s="91"/>
      <c r="O194" s="88"/>
      <c r="P194" s="89"/>
      <c r="Q194" s="92"/>
      <c r="R194" s="93"/>
      <c r="S194" s="89"/>
      <c r="T194" s="90"/>
      <c r="U194" s="91"/>
      <c r="V194" s="88"/>
      <c r="W194" s="89"/>
      <c r="X194" s="90"/>
      <c r="Y194" s="88"/>
      <c r="Z194" s="89"/>
      <c r="AA194" s="90"/>
      <c r="AB194" s="90"/>
      <c r="AC194" s="74">
        <f>'Metrado General - Arcaya'!H1623</f>
        <v>32</v>
      </c>
      <c r="AD194" s="82"/>
      <c r="AE194" s="83"/>
      <c r="AF194" s="83"/>
      <c r="AG194" s="84"/>
      <c r="AH194" s="15"/>
    </row>
    <row r="195" spans="1:34" s="16" customFormat="1" x14ac:dyDescent="0.25">
      <c r="A195" s="87" t="str">
        <f>'Metrado General - Arcaya'!A1627</f>
        <v>1.06.11.07</v>
      </c>
      <c r="B195" s="680" t="str">
        <f>'Metrado General - Arcaya'!B1627</f>
        <v>Suministro e instalación de YEE DE 4" A 2"</v>
      </c>
      <c r="C195" s="681"/>
      <c r="D195" s="681"/>
      <c r="E195" s="681"/>
      <c r="F195" s="681"/>
      <c r="G195" s="682"/>
      <c r="H195" s="72" t="str">
        <f>'Metrado General - Arcaya'!I1627</f>
        <v>und</v>
      </c>
      <c r="I195" s="73"/>
      <c r="J195" s="88"/>
      <c r="K195" s="89"/>
      <c r="L195" s="90"/>
      <c r="M195" s="91"/>
      <c r="N195" s="91"/>
      <c r="O195" s="88"/>
      <c r="P195" s="89"/>
      <c r="Q195" s="92"/>
      <c r="R195" s="93"/>
      <c r="S195" s="89"/>
      <c r="T195" s="90"/>
      <c r="U195" s="91"/>
      <c r="V195" s="88"/>
      <c r="W195" s="89"/>
      <c r="X195" s="90"/>
      <c r="Y195" s="88"/>
      <c r="Z195" s="89"/>
      <c r="AA195" s="90"/>
      <c r="AB195" s="90"/>
      <c r="AC195" s="74">
        <f>'Metrado General - Arcaya'!H1627</f>
        <v>8</v>
      </c>
      <c r="AD195" s="82"/>
      <c r="AE195" s="83"/>
      <c r="AF195" s="83"/>
      <c r="AG195" s="84"/>
      <c r="AH195" s="15"/>
    </row>
    <row r="196" spans="1:34" s="16" customFormat="1" x14ac:dyDescent="0.25">
      <c r="A196" s="87" t="str">
        <f>'Metrado General - Arcaya'!A1632</f>
        <v>1.06.11.08</v>
      </c>
      <c r="B196" s="680" t="str">
        <f>'Metrado General - Arcaya'!B1632</f>
        <v>Suministro e instalación de SOMBRERO DE VENTILACIÓN 2''</v>
      </c>
      <c r="C196" s="681"/>
      <c r="D196" s="681"/>
      <c r="E196" s="681"/>
      <c r="F196" s="681"/>
      <c r="G196" s="682"/>
      <c r="H196" s="72" t="str">
        <f>'Metrado General - Arcaya'!I1632</f>
        <v>und</v>
      </c>
      <c r="I196" s="73"/>
      <c r="J196" s="88"/>
      <c r="K196" s="89"/>
      <c r="L196" s="90"/>
      <c r="M196" s="91"/>
      <c r="N196" s="91"/>
      <c r="O196" s="88"/>
      <c r="P196" s="89"/>
      <c r="Q196" s="92"/>
      <c r="R196" s="93"/>
      <c r="S196" s="89"/>
      <c r="T196" s="90"/>
      <c r="U196" s="91"/>
      <c r="V196" s="88"/>
      <c r="W196" s="89"/>
      <c r="X196" s="90"/>
      <c r="Y196" s="88"/>
      <c r="Z196" s="89"/>
      <c r="AA196" s="90"/>
      <c r="AB196" s="90"/>
      <c r="AC196" s="74">
        <f>'Metrado General - Arcaya'!H1632</f>
        <v>4</v>
      </c>
      <c r="AD196" s="82"/>
      <c r="AE196" s="83"/>
      <c r="AF196" s="83"/>
      <c r="AG196" s="84"/>
      <c r="AH196" s="15"/>
    </row>
    <row r="197" spans="1:34" s="16" customFormat="1" x14ac:dyDescent="0.25">
      <c r="A197" s="71" t="str">
        <f>'Metrado General - Arcaya'!A1636</f>
        <v>1.06.12</v>
      </c>
      <c r="B197" s="683" t="str">
        <f>'Metrado General - Arcaya'!B1636</f>
        <v>CAMARAS DE INSPECCIÓN</v>
      </c>
      <c r="C197" s="684"/>
      <c r="D197" s="684"/>
      <c r="E197" s="684"/>
      <c r="F197" s="684"/>
      <c r="G197" s="685"/>
      <c r="H197" s="72"/>
      <c r="I197" s="73"/>
      <c r="J197" s="88"/>
      <c r="K197" s="89"/>
      <c r="L197" s="90"/>
      <c r="M197" s="91"/>
      <c r="N197" s="91"/>
      <c r="O197" s="88"/>
      <c r="P197" s="89"/>
      <c r="Q197" s="92"/>
      <c r="R197" s="93"/>
      <c r="S197" s="89"/>
      <c r="T197" s="90"/>
      <c r="U197" s="91"/>
      <c r="V197" s="88"/>
      <c r="W197" s="89"/>
      <c r="X197" s="90"/>
      <c r="Y197" s="88"/>
      <c r="Z197" s="89"/>
      <c r="AA197" s="90"/>
      <c r="AB197" s="90"/>
      <c r="AC197" s="74"/>
      <c r="AD197" s="82"/>
      <c r="AE197" s="83"/>
      <c r="AF197" s="83"/>
      <c r="AG197" s="84"/>
      <c r="AH197" s="15"/>
    </row>
    <row r="198" spans="1:34" s="16" customFormat="1" x14ac:dyDescent="0.25">
      <c r="A198" s="87" t="str">
        <f>'Metrado General - Arcaya'!A1637</f>
        <v>1.06.12.01</v>
      </c>
      <c r="B198" s="680" t="str">
        <f>'Metrado General - Arcaya'!B1637</f>
        <v xml:space="preserve">Suministro e instalación de CAJA DE REGISTRO </v>
      </c>
      <c r="C198" s="681"/>
      <c r="D198" s="681"/>
      <c r="E198" s="681"/>
      <c r="F198" s="681"/>
      <c r="G198" s="682"/>
      <c r="H198" s="72" t="str">
        <f>'Metrado General - Arcaya'!I1637</f>
        <v>und</v>
      </c>
      <c r="I198" s="546"/>
      <c r="J198" s="547"/>
      <c r="K198" s="548"/>
      <c r="L198" s="549"/>
      <c r="M198" s="550"/>
      <c r="N198" s="550"/>
      <c r="O198" s="547"/>
      <c r="P198" s="548"/>
      <c r="Q198" s="551"/>
      <c r="R198" s="552"/>
      <c r="S198" s="548"/>
      <c r="T198" s="549"/>
      <c r="U198" s="550"/>
      <c r="V198" s="547"/>
      <c r="W198" s="548"/>
      <c r="X198" s="549"/>
      <c r="Y198" s="547"/>
      <c r="Z198" s="548"/>
      <c r="AA198" s="549"/>
      <c r="AB198" s="549"/>
      <c r="AC198" s="74">
        <f>'Metrado General - Arcaya'!H1637</f>
        <v>14</v>
      </c>
      <c r="AD198" s="82"/>
      <c r="AE198" s="83"/>
      <c r="AF198" s="83"/>
      <c r="AG198" s="84"/>
      <c r="AH198" s="15"/>
    </row>
    <row r="199" spans="1:34" s="16" customFormat="1" x14ac:dyDescent="0.25">
      <c r="A199" s="113">
        <f>'Metrado General - Arcaya'!A1641</f>
        <v>1.07</v>
      </c>
      <c r="B199" s="114" t="str">
        <f>'Metrado General - Arcaya'!B1641</f>
        <v>ELÉCTRICAS</v>
      </c>
      <c r="C199" s="115"/>
      <c r="D199" s="115"/>
      <c r="E199" s="115"/>
      <c r="F199" s="115"/>
      <c r="G199" s="116"/>
      <c r="H199" s="143"/>
      <c r="I199" s="144"/>
      <c r="J199" s="145"/>
      <c r="K199" s="145"/>
      <c r="L199" s="145"/>
      <c r="M199" s="145"/>
      <c r="N199" s="145"/>
      <c r="O199" s="145"/>
      <c r="P199" s="145"/>
      <c r="Q199" s="143"/>
      <c r="R199" s="146"/>
      <c r="S199" s="145"/>
      <c r="T199" s="145"/>
      <c r="U199" s="145"/>
      <c r="V199" s="145"/>
      <c r="W199" s="145"/>
      <c r="X199" s="145"/>
      <c r="Y199" s="145"/>
      <c r="Z199" s="145"/>
      <c r="AA199" s="145"/>
      <c r="AB199" s="145"/>
      <c r="AC199" s="143"/>
      <c r="AD199" s="82"/>
      <c r="AE199" s="83"/>
      <c r="AF199" s="83"/>
      <c r="AG199" s="84"/>
      <c r="AH199" s="15"/>
    </row>
    <row r="200" spans="1:34" s="16" customFormat="1" ht="15.75" thickBot="1" x14ac:dyDescent="0.3">
      <c r="A200" s="96" t="str">
        <f>'Metrado General - Arcaya'!A1642</f>
        <v>1.07.01</v>
      </c>
      <c r="B200" s="632" t="str">
        <f>'Metrado General - Arcaya'!B1642</f>
        <v>Instalaciones eléctricas en aulas provisionales</v>
      </c>
      <c r="C200" s="633"/>
      <c r="D200" s="633"/>
      <c r="E200" s="633"/>
      <c r="F200" s="633"/>
      <c r="G200" s="634"/>
      <c r="H200" s="75" t="str">
        <f>'Metrado General - Arcaya'!I1642</f>
        <v>CJT</v>
      </c>
      <c r="I200" s="76"/>
      <c r="J200" s="97"/>
      <c r="K200" s="98"/>
      <c r="L200" s="99"/>
      <c r="M200" s="100"/>
      <c r="N200" s="100"/>
      <c r="O200" s="97"/>
      <c r="P200" s="98"/>
      <c r="Q200" s="101"/>
      <c r="R200" s="102"/>
      <c r="S200" s="98"/>
      <c r="T200" s="99"/>
      <c r="U200" s="100"/>
      <c r="V200" s="97"/>
      <c r="W200" s="98"/>
      <c r="X200" s="99"/>
      <c r="Y200" s="97"/>
      <c r="Z200" s="98"/>
      <c r="AA200" s="99"/>
      <c r="AB200" s="99"/>
      <c r="AC200" s="77">
        <f>'Metrado General - Arcaya'!H1642</f>
        <v>1</v>
      </c>
      <c r="AD200" s="82"/>
      <c r="AE200" s="83"/>
      <c r="AF200" s="83"/>
      <c r="AG200" s="84"/>
      <c r="AH200" s="15"/>
    </row>
  </sheetData>
  <mergeCells count="210">
    <mergeCell ref="B6:AC6"/>
    <mergeCell ref="B7:AC7"/>
    <mergeCell ref="B8:AC8"/>
    <mergeCell ref="B189:G189"/>
    <mergeCell ref="B190:G190"/>
    <mergeCell ref="B191:G191"/>
    <mergeCell ref="B192:G192"/>
    <mergeCell ref="B193:G193"/>
    <mergeCell ref="B194:G19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B173:G173"/>
    <mergeCell ref="B151:G151"/>
    <mergeCell ref="B152:G152"/>
    <mergeCell ref="B153:G153"/>
    <mergeCell ref="B156:G156"/>
    <mergeCell ref="B158:G158"/>
    <mergeCell ref="B160:G160"/>
    <mergeCell ref="B198:G198"/>
    <mergeCell ref="B174:G174"/>
    <mergeCell ref="B176:G176"/>
    <mergeCell ref="B178:G178"/>
    <mergeCell ref="B179:G179"/>
    <mergeCell ref="B181:G181"/>
    <mergeCell ref="B182:G182"/>
    <mergeCell ref="B184:G184"/>
    <mergeCell ref="B185:G185"/>
    <mergeCell ref="B187:G187"/>
    <mergeCell ref="B175:G175"/>
    <mergeCell ref="B177:G177"/>
    <mergeCell ref="B183:G183"/>
    <mergeCell ref="B186:G186"/>
    <mergeCell ref="B188:G188"/>
    <mergeCell ref="B197:G197"/>
    <mergeCell ref="B195:G195"/>
    <mergeCell ref="B196:G196"/>
    <mergeCell ref="B164:G164"/>
    <mergeCell ref="B155:G155"/>
    <mergeCell ref="B157:G157"/>
    <mergeCell ref="B159:G159"/>
    <mergeCell ref="B161:G161"/>
    <mergeCell ref="B144:G144"/>
    <mergeCell ref="B134:G134"/>
    <mergeCell ref="B142:G142"/>
    <mergeCell ref="B145:G145"/>
    <mergeCell ref="B146:G146"/>
    <mergeCell ref="B147:G147"/>
    <mergeCell ref="B148:G148"/>
    <mergeCell ref="B143:G143"/>
    <mergeCell ref="B137:G137"/>
    <mergeCell ref="B141:G141"/>
    <mergeCell ref="B162:G162"/>
    <mergeCell ref="B163:G163"/>
    <mergeCell ref="B131:G131"/>
    <mergeCell ref="B133:G133"/>
    <mergeCell ref="B132:G132"/>
    <mergeCell ref="B136:G136"/>
    <mergeCell ref="B125:G125"/>
    <mergeCell ref="B135:G135"/>
    <mergeCell ref="B128:G128"/>
    <mergeCell ref="AA9:AA10"/>
    <mergeCell ref="T9:T10"/>
    <mergeCell ref="U9:U10"/>
    <mergeCell ref="I9:I10"/>
    <mergeCell ref="B16:G16"/>
    <mergeCell ref="B17:G17"/>
    <mergeCell ref="N9:N10"/>
    <mergeCell ref="L9:L10"/>
    <mergeCell ref="M9:M10"/>
    <mergeCell ref="J9:J10"/>
    <mergeCell ref="K9:K10"/>
    <mergeCell ref="H9:H10"/>
    <mergeCell ref="B129:G129"/>
    <mergeCell ref="B102:G102"/>
    <mergeCell ref="B87:G87"/>
    <mergeCell ref="B86:G86"/>
    <mergeCell ref="B85:G85"/>
    <mergeCell ref="A9:A10"/>
    <mergeCell ref="B9:G10"/>
    <mergeCell ref="B5:AC5"/>
    <mergeCell ref="Z9:Z10"/>
    <mergeCell ref="B14:G14"/>
    <mergeCell ref="B15:G15"/>
    <mergeCell ref="B130:G130"/>
    <mergeCell ref="B108:G108"/>
    <mergeCell ref="B18:G18"/>
    <mergeCell ref="B22:G22"/>
    <mergeCell ref="B88:G88"/>
    <mergeCell ref="B107:G107"/>
    <mergeCell ref="B23:G23"/>
    <mergeCell ref="B109:G109"/>
    <mergeCell ref="B20:G20"/>
    <mergeCell ref="B21:G21"/>
    <mergeCell ref="B104:G104"/>
    <mergeCell ref="B121:G121"/>
    <mergeCell ref="B103:G103"/>
    <mergeCell ref="B25:G25"/>
    <mergeCell ref="B26:G26"/>
    <mergeCell ref="B27:G27"/>
    <mergeCell ref="B28:G28"/>
    <mergeCell ref="S9:S10"/>
    <mergeCell ref="B84:G84"/>
    <mergeCell ref="B83:G83"/>
    <mergeCell ref="B82:G82"/>
    <mergeCell ref="B89:G89"/>
    <mergeCell ref="B90:G90"/>
    <mergeCell ref="B95:G95"/>
    <mergeCell ref="B96:G96"/>
    <mergeCell ref="B101:G101"/>
    <mergeCell ref="B127:G127"/>
    <mergeCell ref="B126:G126"/>
    <mergeCell ref="B120:G120"/>
    <mergeCell ref="B122:G122"/>
    <mergeCell ref="B97:G97"/>
    <mergeCell ref="B98:G98"/>
    <mergeCell ref="B99:G99"/>
    <mergeCell ref="B100:G100"/>
    <mergeCell ref="B123:G123"/>
    <mergeCell ref="B124:G124"/>
    <mergeCell ref="B81:G81"/>
    <mergeCell ref="B52:G52"/>
    <mergeCell ref="B53:G53"/>
    <mergeCell ref="B73:G73"/>
    <mergeCell ref="B74:G74"/>
    <mergeCell ref="B75:G75"/>
    <mergeCell ref="B76:G76"/>
    <mergeCell ref="B77:G77"/>
    <mergeCell ref="B69:G69"/>
    <mergeCell ref="B70:G70"/>
    <mergeCell ref="B71:G71"/>
    <mergeCell ref="B72:G72"/>
    <mergeCell ref="B63:G63"/>
    <mergeCell ref="B64:G64"/>
    <mergeCell ref="B65:G65"/>
    <mergeCell ref="B66:G66"/>
    <mergeCell ref="B67:G67"/>
    <mergeCell ref="B54:G54"/>
    <mergeCell ref="B55:G55"/>
    <mergeCell ref="B56:G56"/>
    <mergeCell ref="B57:G57"/>
    <mergeCell ref="B62:G62"/>
    <mergeCell ref="B45:G45"/>
    <mergeCell ref="B46:G46"/>
    <mergeCell ref="B47:G47"/>
    <mergeCell ref="B48:G48"/>
    <mergeCell ref="B49:G49"/>
    <mergeCell ref="B50:G50"/>
    <mergeCell ref="B51:G51"/>
    <mergeCell ref="B13:AC13"/>
    <mergeCell ref="B19:AC19"/>
    <mergeCell ref="B29:G29"/>
    <mergeCell ref="B30:G30"/>
    <mergeCell ref="B31:G31"/>
    <mergeCell ref="B32:G32"/>
    <mergeCell ref="B33:G33"/>
    <mergeCell ref="B34:G34"/>
    <mergeCell ref="A1:AC2"/>
    <mergeCell ref="B138:G138"/>
    <mergeCell ref="B139:G139"/>
    <mergeCell ref="B140:G140"/>
    <mergeCell ref="B111:G111"/>
    <mergeCell ref="B112:G112"/>
    <mergeCell ref="B113:G113"/>
    <mergeCell ref="B114:G114"/>
    <mergeCell ref="B115:G115"/>
    <mergeCell ref="B116:G116"/>
    <mergeCell ref="B117:G117"/>
    <mergeCell ref="B118:G118"/>
    <mergeCell ref="B91:G91"/>
    <mergeCell ref="B92:G92"/>
    <mergeCell ref="B93:G93"/>
    <mergeCell ref="B78:G78"/>
    <mergeCell ref="B79:G79"/>
    <mergeCell ref="B80:G80"/>
    <mergeCell ref="B40:G40"/>
    <mergeCell ref="B41:G41"/>
    <mergeCell ref="B3:AC4"/>
    <mergeCell ref="B39:G39"/>
    <mergeCell ref="B68:G68"/>
    <mergeCell ref="B12:AC12"/>
    <mergeCell ref="B200:G200"/>
    <mergeCell ref="B37:G37"/>
    <mergeCell ref="B36:G36"/>
    <mergeCell ref="B24:G24"/>
    <mergeCell ref="AB9:AB10"/>
    <mergeCell ref="AC9:AC10"/>
    <mergeCell ref="O9:O10"/>
    <mergeCell ref="P9:P10"/>
    <mergeCell ref="Q9:Q10"/>
    <mergeCell ref="R9:R10"/>
    <mergeCell ref="V9:V10"/>
    <mergeCell ref="W9:W10"/>
    <mergeCell ref="X9:X10"/>
    <mergeCell ref="Y9:Y10"/>
    <mergeCell ref="B38:G38"/>
    <mergeCell ref="B35:G35"/>
    <mergeCell ref="B94:G94"/>
    <mergeCell ref="B42:G42"/>
    <mergeCell ref="B43:G43"/>
    <mergeCell ref="B44:G44"/>
    <mergeCell ref="B58:G58"/>
    <mergeCell ref="B59:G59"/>
    <mergeCell ref="B60:G60"/>
    <mergeCell ref="B61:G61"/>
  </mergeCells>
  <phoneticPr fontId="13" type="noConversion"/>
  <printOptions horizontalCentered="1"/>
  <pageMargins left="0.62992125984251968" right="0.19685039370078741" top="0.55118110236220474" bottom="0.47244094488188981" header="0.31496062992125984" footer="0.31496062992125984"/>
  <pageSetup paperSize="9" scale="68" fitToHeight="0" orientation="portrait" verticalDpi="360" r:id="rId1"/>
  <headerFooter>
    <oddFooter>Página &amp;P</oddFooter>
  </headerFooter>
  <colBreaks count="1" manualBreakCount="1">
    <brk id="29" max="195" man="1"/>
  </colBreaks>
  <ignoredErrors>
    <ignoredError sqref="A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45"/>
  <sheetViews>
    <sheetView view="pageBreakPreview" zoomScaleNormal="130" zoomScaleSheetLayoutView="100" workbookViewId="0">
      <pane ySplit="9" topLeftCell="A10" activePane="bottomLeft" state="frozen"/>
      <selection pane="bottomLeft" activeCell="B20" sqref="B20"/>
    </sheetView>
  </sheetViews>
  <sheetFormatPr baseColWidth="10" defaultColWidth="11.42578125" defaultRowHeight="12.75" x14ac:dyDescent="0.2"/>
  <cols>
    <col min="1" max="1" width="13.42578125" style="70" bestFit="1" customWidth="1"/>
    <col min="2" max="2" width="50.140625" style="69" customWidth="1"/>
    <col min="3" max="3" width="7.5703125" style="69" customWidth="1"/>
    <col min="4" max="4" width="8.28515625" style="69" customWidth="1"/>
    <col min="5" max="5" width="9.7109375" style="69" customWidth="1"/>
    <col min="6" max="6" width="7.7109375" style="69" customWidth="1"/>
    <col min="7" max="7" width="21.85546875" style="69" customWidth="1"/>
    <col min="8" max="8" width="11.5703125" style="69" customWidth="1"/>
    <col min="9" max="9" width="6.140625" style="9" customWidth="1"/>
    <col min="10" max="10" width="11.42578125" style="2" customWidth="1"/>
    <col min="11" max="16384" width="11.42578125" style="2"/>
  </cols>
  <sheetData>
    <row r="1" spans="1:9" s="1" customFormat="1" x14ac:dyDescent="0.2">
      <c r="A1" s="721" t="s">
        <v>3</v>
      </c>
      <c r="B1" s="722"/>
      <c r="C1" s="722"/>
      <c r="D1" s="722"/>
      <c r="E1" s="722"/>
      <c r="F1" s="722"/>
      <c r="G1" s="722"/>
      <c r="H1" s="722"/>
      <c r="I1" s="723"/>
    </row>
    <row r="2" spans="1:9" s="1" customFormat="1" x14ac:dyDescent="0.2">
      <c r="A2" s="21"/>
      <c r="B2" s="3"/>
      <c r="C2" s="3"/>
      <c r="D2" s="3"/>
      <c r="E2" s="3"/>
      <c r="F2" s="3"/>
      <c r="G2" s="3"/>
      <c r="H2" s="3"/>
      <c r="I2" s="22"/>
    </row>
    <row r="3" spans="1:9" s="1" customFormat="1" ht="24.75" customHeight="1" x14ac:dyDescent="0.2">
      <c r="A3" s="25" t="s">
        <v>6</v>
      </c>
      <c r="B3" s="726" t="s">
        <v>586</v>
      </c>
      <c r="C3" s="726"/>
      <c r="D3" s="726"/>
      <c r="E3" s="726"/>
      <c r="F3" s="726"/>
      <c r="G3" s="726"/>
      <c r="H3" s="726"/>
      <c r="I3" s="727"/>
    </row>
    <row r="4" spans="1:9" s="1" customFormat="1" ht="13.5" x14ac:dyDescent="0.25">
      <c r="A4" s="23" t="s">
        <v>15</v>
      </c>
      <c r="B4" s="13" t="s">
        <v>470</v>
      </c>
      <c r="C4" s="5"/>
      <c r="D4" s="6"/>
      <c r="E4" s="6"/>
      <c r="F4" s="6"/>
      <c r="G4" s="6"/>
      <c r="H4" s="6"/>
      <c r="I4" s="24"/>
    </row>
    <row r="5" spans="1:9" s="1" customFormat="1" ht="13.5" x14ac:dyDescent="0.25">
      <c r="A5" s="23" t="s">
        <v>4</v>
      </c>
      <c r="B5" s="4" t="s">
        <v>14</v>
      </c>
      <c r="C5" s="5"/>
      <c r="D5" s="6"/>
      <c r="E5" s="6"/>
      <c r="F5" s="6"/>
      <c r="G5" s="6"/>
      <c r="H5" s="6"/>
      <c r="I5" s="24"/>
    </row>
    <row r="6" spans="1:9" s="1" customFormat="1" ht="13.5" x14ac:dyDescent="0.25">
      <c r="A6" s="23" t="s">
        <v>5</v>
      </c>
      <c r="B6" s="4" t="s">
        <v>408</v>
      </c>
      <c r="C6" s="5"/>
      <c r="D6" s="6"/>
      <c r="E6" s="6"/>
      <c r="F6" s="6"/>
      <c r="G6" s="6"/>
      <c r="H6" s="6"/>
      <c r="I6" s="24"/>
    </row>
    <row r="7" spans="1:9" s="1" customFormat="1" ht="14.25" thickBot="1" x14ac:dyDescent="0.3">
      <c r="A7" s="40"/>
      <c r="B7" s="37"/>
      <c r="C7" s="38"/>
      <c r="D7" s="39"/>
      <c r="E7" s="35"/>
      <c r="F7" s="35"/>
      <c r="G7" s="35"/>
      <c r="H7" s="35"/>
      <c r="I7" s="36"/>
    </row>
    <row r="8" spans="1:9" s="1" customFormat="1" x14ac:dyDescent="0.2">
      <c r="A8" s="7"/>
      <c r="B8" s="30"/>
      <c r="C8" s="30"/>
      <c r="D8" s="724" t="s">
        <v>37</v>
      </c>
      <c r="E8" s="725"/>
      <c r="F8" s="725"/>
      <c r="G8" s="27" t="s">
        <v>38</v>
      </c>
      <c r="H8" s="27" t="s">
        <v>39</v>
      </c>
      <c r="I8" s="33" t="s">
        <v>40</v>
      </c>
    </row>
    <row r="9" spans="1:9" s="1" customFormat="1" ht="11.25" customHeight="1" thickBot="1" x14ac:dyDescent="0.25">
      <c r="A9" s="26" t="s">
        <v>34</v>
      </c>
      <c r="B9" s="31" t="s">
        <v>35</v>
      </c>
      <c r="C9" s="31" t="s">
        <v>36</v>
      </c>
      <c r="D9" s="32" t="s">
        <v>41</v>
      </c>
      <c r="E9" s="32" t="s">
        <v>42</v>
      </c>
      <c r="F9" s="32" t="s">
        <v>43</v>
      </c>
      <c r="G9" s="8"/>
      <c r="H9" s="8"/>
      <c r="I9" s="34"/>
    </row>
    <row r="10" spans="1:9" s="1" customFormat="1" ht="5.0999999999999996" customHeight="1" thickBot="1" x14ac:dyDescent="0.25">
      <c r="A10" s="562"/>
      <c r="B10" s="563"/>
      <c r="C10" s="563"/>
      <c r="D10" s="563"/>
      <c r="E10" s="563"/>
      <c r="F10" s="563"/>
      <c r="G10" s="564"/>
      <c r="H10" s="564"/>
      <c r="I10" s="565"/>
    </row>
    <row r="11" spans="1:9" s="17" customFormat="1" ht="13.5" customHeight="1" x14ac:dyDescent="0.2">
      <c r="A11" s="514">
        <v>1.01</v>
      </c>
      <c r="B11" s="702" t="s">
        <v>410</v>
      </c>
      <c r="C11" s="703"/>
      <c r="D11" s="703"/>
      <c r="E11" s="703"/>
      <c r="F11" s="703"/>
      <c r="G11" s="703"/>
      <c r="H11" s="703"/>
      <c r="I11" s="704"/>
    </row>
    <row r="12" spans="1:9" s="14" customFormat="1" ht="11.25" customHeight="1" x14ac:dyDescent="0.2">
      <c r="A12" s="203"/>
      <c r="B12" s="204"/>
      <c r="C12" s="205"/>
      <c r="D12" s="206"/>
      <c r="E12" s="206"/>
      <c r="F12" s="207"/>
      <c r="G12" s="208"/>
      <c r="H12" s="209"/>
      <c r="I12" s="210"/>
    </row>
    <row r="13" spans="1:9" s="14" customFormat="1" ht="11.25" customHeight="1" x14ac:dyDescent="0.2">
      <c r="A13" s="203" t="s">
        <v>742</v>
      </c>
      <c r="B13" s="212" t="s">
        <v>747</v>
      </c>
      <c r="C13" s="205">
        <v>1</v>
      </c>
      <c r="D13" s="206"/>
      <c r="E13" s="206"/>
      <c r="F13" s="207"/>
      <c r="G13" s="208">
        <f>C13</f>
        <v>1</v>
      </c>
      <c r="H13" s="209">
        <f>G13*C13</f>
        <v>1</v>
      </c>
      <c r="I13" s="210" t="s">
        <v>8</v>
      </c>
    </row>
    <row r="14" spans="1:9" s="11" customFormat="1" ht="12.75" customHeight="1" x14ac:dyDescent="0.2">
      <c r="A14" s="211"/>
      <c r="B14" s="212"/>
      <c r="C14" s="213"/>
      <c r="D14" s="214"/>
      <c r="E14" s="214"/>
      <c r="F14" s="214"/>
      <c r="G14" s="215"/>
      <c r="H14" s="216"/>
      <c r="I14" s="217"/>
    </row>
    <row r="15" spans="1:9" s="14" customFormat="1" ht="11.25" customHeight="1" x14ac:dyDescent="0.2">
      <c r="A15" s="203" t="s">
        <v>743</v>
      </c>
      <c r="B15" s="212" t="s">
        <v>748</v>
      </c>
      <c r="C15" s="205">
        <v>1</v>
      </c>
      <c r="D15" s="206">
        <v>8</v>
      </c>
      <c r="E15" s="206">
        <v>6</v>
      </c>
      <c r="F15" s="207"/>
      <c r="G15" s="208">
        <f>D15*E15</f>
        <v>48</v>
      </c>
      <c r="H15" s="209">
        <f>G15*C15</f>
        <v>48</v>
      </c>
      <c r="I15" s="210" t="s">
        <v>2</v>
      </c>
    </row>
    <row r="16" spans="1:9" s="1" customFormat="1" x14ac:dyDescent="0.2">
      <c r="A16" s="218"/>
      <c r="B16" s="219"/>
      <c r="C16" s="219"/>
      <c r="D16" s="219"/>
      <c r="E16" s="219"/>
      <c r="F16" s="219"/>
      <c r="G16" s="220"/>
      <c r="H16" s="221"/>
      <c r="I16" s="222"/>
    </row>
    <row r="17" spans="1:9" s="14" customFormat="1" ht="11.25" customHeight="1" x14ac:dyDescent="0.2">
      <c r="A17" s="223" t="s">
        <v>744</v>
      </c>
      <c r="B17" s="224" t="s">
        <v>587</v>
      </c>
      <c r="C17" s="225">
        <v>1</v>
      </c>
      <c r="D17" s="226">
        <v>10</v>
      </c>
      <c r="E17" s="226">
        <v>6</v>
      </c>
      <c r="F17" s="227"/>
      <c r="G17" s="228">
        <v>60</v>
      </c>
      <c r="H17" s="229">
        <v>60</v>
      </c>
      <c r="I17" s="230" t="s">
        <v>2</v>
      </c>
    </row>
    <row r="18" spans="1:9" s="14" customFormat="1" ht="11.25" customHeight="1" x14ac:dyDescent="0.2">
      <c r="A18" s="223"/>
      <c r="B18" s="224"/>
      <c r="C18" s="225"/>
      <c r="D18" s="226"/>
      <c r="E18" s="226"/>
      <c r="F18" s="227"/>
      <c r="G18" s="228"/>
      <c r="H18" s="229"/>
      <c r="I18" s="230"/>
    </row>
    <row r="19" spans="1:9" s="14" customFormat="1" ht="11.25" customHeight="1" x14ac:dyDescent="0.2">
      <c r="A19" s="223" t="s">
        <v>745</v>
      </c>
      <c r="B19" s="224" t="s">
        <v>786</v>
      </c>
      <c r="C19" s="225">
        <v>1</v>
      </c>
      <c r="D19" s="226">
        <v>4</v>
      </c>
      <c r="E19" s="226">
        <v>3</v>
      </c>
      <c r="F19" s="227"/>
      <c r="G19" s="228">
        <v>12</v>
      </c>
      <c r="H19" s="229">
        <v>12</v>
      </c>
      <c r="I19" s="230" t="s">
        <v>2</v>
      </c>
    </row>
    <row r="20" spans="1:9" s="14" customFormat="1" ht="11.25" customHeight="1" x14ac:dyDescent="0.2">
      <c r="A20" s="223"/>
      <c r="B20" s="224"/>
      <c r="C20" s="225"/>
      <c r="D20" s="226"/>
      <c r="E20" s="226"/>
      <c r="F20" s="227"/>
      <c r="G20" s="228"/>
      <c r="H20" s="229"/>
      <c r="I20" s="230"/>
    </row>
    <row r="21" spans="1:9" s="14" customFormat="1" ht="11.25" customHeight="1" x14ac:dyDescent="0.2">
      <c r="A21" s="203" t="s">
        <v>746</v>
      </c>
      <c r="B21" s="212" t="s">
        <v>33</v>
      </c>
      <c r="C21" s="205">
        <v>1</v>
      </c>
      <c r="D21" s="206">
        <v>257.27</v>
      </c>
      <c r="E21" s="206"/>
      <c r="F21" s="207"/>
      <c r="G21" s="208">
        <f>+D21</f>
        <v>257.27</v>
      </c>
      <c r="H21" s="209">
        <f>G21*C21</f>
        <v>257.27</v>
      </c>
      <c r="I21" s="210" t="s">
        <v>30</v>
      </c>
    </row>
    <row r="22" spans="1:9" s="14" customFormat="1" ht="11.25" customHeight="1" x14ac:dyDescent="0.2">
      <c r="A22" s="203"/>
      <c r="B22" s="533" t="s">
        <v>749</v>
      </c>
      <c r="C22" s="205"/>
      <c r="D22" s="206"/>
      <c r="E22" s="206"/>
      <c r="F22" s="207"/>
      <c r="G22" s="208"/>
      <c r="H22" s="209"/>
      <c r="I22" s="210"/>
    </row>
    <row r="23" spans="1:9" s="1" customFormat="1" ht="13.5" thickBot="1" x14ac:dyDescent="0.25">
      <c r="A23" s="232"/>
      <c r="B23" s="233"/>
      <c r="C23" s="233"/>
      <c r="D23" s="233"/>
      <c r="E23" s="233"/>
      <c r="F23" s="233"/>
      <c r="G23" s="234"/>
      <c r="H23" s="235"/>
      <c r="I23" s="236"/>
    </row>
    <row r="24" spans="1:9" s="17" customFormat="1" ht="13.5" customHeight="1" thickBot="1" x14ac:dyDescent="0.25">
      <c r="A24" s="514">
        <v>1.02</v>
      </c>
      <c r="B24" s="702" t="s">
        <v>0</v>
      </c>
      <c r="C24" s="703"/>
      <c r="D24" s="703"/>
      <c r="E24" s="703"/>
      <c r="F24" s="703"/>
      <c r="G24" s="703"/>
      <c r="H24" s="703"/>
      <c r="I24" s="704"/>
    </row>
    <row r="25" spans="1:9" s="12" customFormat="1" ht="12.75" customHeight="1" thickBot="1" x14ac:dyDescent="0.25">
      <c r="A25" s="408" t="s">
        <v>500</v>
      </c>
      <c r="B25" s="705" t="s">
        <v>32</v>
      </c>
      <c r="C25" s="706"/>
      <c r="D25" s="706"/>
      <c r="E25" s="706"/>
      <c r="F25" s="706"/>
      <c r="G25" s="707"/>
      <c r="H25" s="410">
        <f>H27+H34+H37+H40+H44+H47+H50+H54+H57+H61+H67+H72+H75+H78+H81+H84+H88+H91+H94+H97+H100+H103+H106+H151+H159</f>
        <v>15115.998499999998</v>
      </c>
      <c r="I25" s="444" t="s">
        <v>2</v>
      </c>
    </row>
    <row r="26" spans="1:9" s="42" customFormat="1" ht="13.5" customHeight="1" x14ac:dyDescent="0.2">
      <c r="A26" s="237"/>
      <c r="B26" s="238"/>
      <c r="C26" s="239"/>
      <c r="D26" s="240"/>
      <c r="E26" s="240"/>
      <c r="F26" s="207"/>
      <c r="G26" s="241"/>
      <c r="H26" s="242"/>
      <c r="I26" s="243"/>
    </row>
    <row r="27" spans="1:9" s="41" customFormat="1" x14ac:dyDescent="0.2">
      <c r="A27" s="244"/>
      <c r="B27" s="245" t="s">
        <v>115</v>
      </c>
      <c r="C27" s="246"/>
      <c r="D27" s="717" t="s">
        <v>11</v>
      </c>
      <c r="E27" s="718"/>
      <c r="F27" s="247"/>
      <c r="G27" s="248"/>
      <c r="H27" s="249">
        <f>SUM(H28:H33)</f>
        <v>531.101</v>
      </c>
      <c r="I27" s="250" t="s">
        <v>2</v>
      </c>
    </row>
    <row r="28" spans="1:9" s="41" customFormat="1" x14ac:dyDescent="0.2">
      <c r="A28" s="251"/>
      <c r="B28" s="571" t="s">
        <v>96</v>
      </c>
      <c r="C28" s="253">
        <v>1</v>
      </c>
      <c r="D28" s="526">
        <v>13.52</v>
      </c>
      <c r="E28" s="526">
        <v>8.8000000000000007</v>
      </c>
      <c r="F28" s="254"/>
      <c r="G28" s="215">
        <f>PRODUCT(D28:F28)</f>
        <v>118.976</v>
      </c>
      <c r="H28" s="255">
        <f>G28*C28</f>
        <v>118.976</v>
      </c>
      <c r="I28" s="256" t="s">
        <v>2</v>
      </c>
    </row>
    <row r="29" spans="1:9" s="41" customFormat="1" x14ac:dyDescent="0.2">
      <c r="A29" s="251"/>
      <c r="B29" s="571"/>
      <c r="C29" s="253"/>
      <c r="D29" s="526"/>
      <c r="E29" s="526"/>
      <c r="F29" s="254"/>
      <c r="G29" s="215"/>
      <c r="H29" s="255"/>
      <c r="I29" s="256"/>
    </row>
    <row r="30" spans="1:9" s="41" customFormat="1" x14ac:dyDescent="0.2">
      <c r="A30" s="251"/>
      <c r="B30" s="571" t="s">
        <v>157</v>
      </c>
      <c r="C30" s="253">
        <v>1</v>
      </c>
      <c r="D30" s="526">
        <v>9.75</v>
      </c>
      <c r="E30" s="526">
        <v>4.1500000000000004</v>
      </c>
      <c r="F30" s="254"/>
      <c r="G30" s="215">
        <f>PRODUCT(D30:F30)</f>
        <v>40.462500000000006</v>
      </c>
      <c r="H30" s="255">
        <f>G30*C30</f>
        <v>40.462500000000006</v>
      </c>
      <c r="I30" s="256" t="s">
        <v>2</v>
      </c>
    </row>
    <row r="31" spans="1:9" s="41" customFormat="1" x14ac:dyDescent="0.2">
      <c r="A31" s="251"/>
      <c r="B31" s="571" t="s">
        <v>158</v>
      </c>
      <c r="C31" s="253">
        <v>1</v>
      </c>
      <c r="D31" s="526">
        <v>9.75</v>
      </c>
      <c r="E31" s="526">
        <v>4.1500000000000004</v>
      </c>
      <c r="F31" s="254"/>
      <c r="G31" s="215">
        <f>PRODUCT(D31:F31)</f>
        <v>40.462500000000006</v>
      </c>
      <c r="H31" s="255">
        <f>G31*C31</f>
        <v>40.462500000000006</v>
      </c>
      <c r="I31" s="256" t="s">
        <v>2</v>
      </c>
    </row>
    <row r="32" spans="1:9" s="41" customFormat="1" x14ac:dyDescent="0.2">
      <c r="A32" s="251"/>
      <c r="B32" s="571" t="s">
        <v>475</v>
      </c>
      <c r="C32" s="253">
        <v>1</v>
      </c>
      <c r="D32" s="257">
        <v>36.799999999999997</v>
      </c>
      <c r="E32" s="257">
        <v>9</v>
      </c>
      <c r="F32" s="254"/>
      <c r="G32" s="215">
        <f>PRODUCT(D32:E32)</f>
        <v>331.2</v>
      </c>
      <c r="H32" s="255">
        <f>G32*C32</f>
        <v>331.2</v>
      </c>
      <c r="I32" s="256" t="s">
        <v>2</v>
      </c>
    </row>
    <row r="33" spans="1:9" s="41" customFormat="1" x14ac:dyDescent="0.2">
      <c r="A33" s="251"/>
      <c r="B33" s="252"/>
      <c r="C33" s="253"/>
      <c r="D33" s="258"/>
      <c r="E33" s="258"/>
      <c r="F33" s="254"/>
      <c r="G33" s="259"/>
      <c r="H33" s="255"/>
      <c r="I33" s="256"/>
    </row>
    <row r="34" spans="1:9" s="42" customFormat="1" ht="13.5" customHeight="1" x14ac:dyDescent="0.2">
      <c r="A34" s="244"/>
      <c r="B34" s="245" t="s">
        <v>17</v>
      </c>
      <c r="C34" s="246"/>
      <c r="D34" s="717" t="s">
        <v>11</v>
      </c>
      <c r="E34" s="718"/>
      <c r="F34" s="247"/>
      <c r="G34" s="248"/>
      <c r="H34" s="249">
        <f>SUM(H35:H36)</f>
        <v>162.39750000000001</v>
      </c>
      <c r="I34" s="250" t="s">
        <v>2</v>
      </c>
    </row>
    <row r="35" spans="1:9" s="41" customFormat="1" x14ac:dyDescent="0.2">
      <c r="A35" s="251"/>
      <c r="B35" s="571" t="s">
        <v>476</v>
      </c>
      <c r="C35" s="253">
        <v>1</v>
      </c>
      <c r="D35" s="257">
        <v>18.350000000000001</v>
      </c>
      <c r="E35" s="257">
        <v>8.85</v>
      </c>
      <c r="F35" s="254"/>
      <c r="G35" s="215">
        <f>PRODUCT(D35:E35)</f>
        <v>162.39750000000001</v>
      </c>
      <c r="H35" s="255">
        <f>G35*C35</f>
        <v>162.39750000000001</v>
      </c>
      <c r="I35" s="256" t="s">
        <v>2</v>
      </c>
    </row>
    <row r="36" spans="1:9" s="41" customFormat="1" x14ac:dyDescent="0.2">
      <c r="A36" s="251"/>
      <c r="B36" s="252"/>
      <c r="C36" s="253"/>
      <c r="D36" s="526"/>
      <c r="E36" s="526"/>
      <c r="F36" s="254"/>
      <c r="G36" s="215"/>
      <c r="H36" s="255"/>
      <c r="I36" s="256"/>
    </row>
    <row r="37" spans="1:9" s="41" customFormat="1" x14ac:dyDescent="0.2">
      <c r="A37" s="244"/>
      <c r="B37" s="245" t="s">
        <v>97</v>
      </c>
      <c r="C37" s="246"/>
      <c r="D37" s="717" t="s">
        <v>11</v>
      </c>
      <c r="E37" s="718"/>
      <c r="F37" s="247"/>
      <c r="G37" s="248"/>
      <c r="H37" s="249">
        <f>SUM(H38:H39)</f>
        <v>168.82</v>
      </c>
      <c r="I37" s="250" t="s">
        <v>2</v>
      </c>
    </row>
    <row r="38" spans="1:9" s="42" customFormat="1" ht="13.5" customHeight="1" x14ac:dyDescent="0.2">
      <c r="A38" s="251"/>
      <c r="B38" s="571" t="s">
        <v>477</v>
      </c>
      <c r="C38" s="253">
        <v>1</v>
      </c>
      <c r="D38" s="257">
        <v>18.350000000000001</v>
      </c>
      <c r="E38" s="257">
        <v>9.1999999999999993</v>
      </c>
      <c r="F38" s="254"/>
      <c r="G38" s="215">
        <f>PRODUCT(D38:E38)</f>
        <v>168.82</v>
      </c>
      <c r="H38" s="255">
        <f>G38*C38</f>
        <v>168.82</v>
      </c>
      <c r="I38" s="256" t="s">
        <v>2</v>
      </c>
    </row>
    <row r="39" spans="1:9" s="41" customFormat="1" x14ac:dyDescent="0.2">
      <c r="A39" s="251"/>
      <c r="B39" s="252"/>
      <c r="C39" s="253"/>
      <c r="D39" s="526"/>
      <c r="E39" s="526"/>
      <c r="F39" s="254"/>
      <c r="G39" s="215"/>
      <c r="H39" s="255"/>
      <c r="I39" s="256"/>
    </row>
    <row r="40" spans="1:9" s="41" customFormat="1" x14ac:dyDescent="0.2">
      <c r="A40" s="244"/>
      <c r="B40" s="245" t="s">
        <v>58</v>
      </c>
      <c r="C40" s="246"/>
      <c r="D40" s="717" t="s">
        <v>11</v>
      </c>
      <c r="E40" s="718"/>
      <c r="F40" s="247"/>
      <c r="G40" s="248"/>
      <c r="H40" s="249">
        <f>SUM(H41:H43)</f>
        <v>292.54249999999996</v>
      </c>
      <c r="I40" s="250" t="s">
        <v>2</v>
      </c>
    </row>
    <row r="41" spans="1:9" s="42" customFormat="1" ht="13.5" customHeight="1" x14ac:dyDescent="0.2">
      <c r="A41" s="251"/>
      <c r="B41" s="571" t="s">
        <v>478</v>
      </c>
      <c r="C41" s="253">
        <v>1</v>
      </c>
      <c r="D41" s="257">
        <v>27.4</v>
      </c>
      <c r="E41" s="257">
        <v>9.1999999999999993</v>
      </c>
      <c r="F41" s="254"/>
      <c r="G41" s="215">
        <f>PRODUCT(D41:E41)</f>
        <v>252.07999999999996</v>
      </c>
      <c r="H41" s="255">
        <f>G41*C41</f>
        <v>252.07999999999996</v>
      </c>
      <c r="I41" s="256" t="s">
        <v>2</v>
      </c>
    </row>
    <row r="42" spans="1:9" s="41" customFormat="1" x14ac:dyDescent="0.2">
      <c r="A42" s="251"/>
      <c r="B42" s="571" t="s">
        <v>479</v>
      </c>
      <c r="C42" s="253">
        <v>1</v>
      </c>
      <c r="D42" s="526">
        <v>9.75</v>
      </c>
      <c r="E42" s="526">
        <v>4.1500000000000004</v>
      </c>
      <c r="F42" s="254"/>
      <c r="G42" s="215">
        <f>PRODUCT(D42:F42)</f>
        <v>40.462500000000006</v>
      </c>
      <c r="H42" s="255">
        <f>G42*C42</f>
        <v>40.462500000000006</v>
      </c>
      <c r="I42" s="256" t="s">
        <v>2</v>
      </c>
    </row>
    <row r="43" spans="1:9" s="41" customFormat="1" x14ac:dyDescent="0.2">
      <c r="A43" s="251"/>
      <c r="B43" s="252"/>
      <c r="C43" s="253"/>
      <c r="D43" s="526"/>
      <c r="E43" s="526"/>
      <c r="F43" s="254"/>
      <c r="G43" s="215"/>
      <c r="H43" s="255"/>
      <c r="I43" s="256"/>
    </row>
    <row r="44" spans="1:9" s="42" customFormat="1" ht="13.5" customHeight="1" x14ac:dyDescent="0.2">
      <c r="A44" s="244"/>
      <c r="B44" s="245" t="s">
        <v>101</v>
      </c>
      <c r="C44" s="246"/>
      <c r="D44" s="717" t="s">
        <v>11</v>
      </c>
      <c r="E44" s="718"/>
      <c r="F44" s="247"/>
      <c r="G44" s="248"/>
      <c r="H44" s="249">
        <f>SUM(H45:H46)</f>
        <v>124.08500000000001</v>
      </c>
      <c r="I44" s="250" t="s">
        <v>2</v>
      </c>
    </row>
    <row r="45" spans="1:9" s="41" customFormat="1" x14ac:dyDescent="0.2">
      <c r="A45" s="251"/>
      <c r="B45" s="571" t="s">
        <v>101</v>
      </c>
      <c r="C45" s="253">
        <v>1</v>
      </c>
      <c r="D45" s="257">
        <v>14.95</v>
      </c>
      <c r="E45" s="257">
        <v>8.3000000000000007</v>
      </c>
      <c r="F45" s="254"/>
      <c r="G45" s="215">
        <f>PRODUCT(D45:E45)</f>
        <v>124.08500000000001</v>
      </c>
      <c r="H45" s="255">
        <f>G45*C45</f>
        <v>124.08500000000001</v>
      </c>
      <c r="I45" s="256" t="s">
        <v>2</v>
      </c>
    </row>
    <row r="46" spans="1:9" s="43" customFormat="1" x14ac:dyDescent="0.2">
      <c r="A46" s="251"/>
      <c r="B46" s="252"/>
      <c r="C46" s="253"/>
      <c r="D46" s="526"/>
      <c r="E46" s="526"/>
      <c r="F46" s="254"/>
      <c r="G46" s="215"/>
      <c r="H46" s="255"/>
      <c r="I46" s="256"/>
    </row>
    <row r="47" spans="1:9" s="42" customFormat="1" ht="13.5" customHeight="1" x14ac:dyDescent="0.2">
      <c r="A47" s="260"/>
      <c r="B47" s="245" t="s">
        <v>480</v>
      </c>
      <c r="C47" s="261"/>
      <c r="D47" s="262"/>
      <c r="E47" s="262"/>
      <c r="F47" s="263"/>
      <c r="G47" s="264"/>
      <c r="H47" s="249">
        <f>SUM(H48:H49)</f>
        <v>85.259999999999991</v>
      </c>
      <c r="I47" s="250" t="s">
        <v>2</v>
      </c>
    </row>
    <row r="48" spans="1:9" s="41" customFormat="1" x14ac:dyDescent="0.2">
      <c r="A48" s="251"/>
      <c r="B48" s="571" t="s">
        <v>481</v>
      </c>
      <c r="C48" s="253">
        <v>1</v>
      </c>
      <c r="D48" s="525">
        <v>5.8</v>
      </c>
      <c r="E48" s="526">
        <v>14.7</v>
      </c>
      <c r="F48" s="254"/>
      <c r="G48" s="215">
        <f>PRODUCT(D48:F48)</f>
        <v>85.259999999999991</v>
      </c>
      <c r="H48" s="255">
        <f>G48*C48</f>
        <v>85.259999999999991</v>
      </c>
      <c r="I48" s="256" t="s">
        <v>2</v>
      </c>
    </row>
    <row r="49" spans="1:9" s="43" customFormat="1" x14ac:dyDescent="0.2">
      <c r="A49" s="265"/>
      <c r="B49" s="252"/>
      <c r="C49" s="254"/>
      <c r="D49" s="254"/>
      <c r="E49" s="254"/>
      <c r="F49" s="254"/>
      <c r="G49" s="266"/>
      <c r="H49" s="257"/>
      <c r="I49" s="256"/>
    </row>
    <row r="50" spans="1:9" s="42" customFormat="1" ht="13.5" customHeight="1" x14ac:dyDescent="0.2">
      <c r="A50" s="260"/>
      <c r="B50" s="245" t="s">
        <v>100</v>
      </c>
      <c r="C50" s="261"/>
      <c r="D50" s="262"/>
      <c r="E50" s="262"/>
      <c r="F50" s="263"/>
      <c r="G50" s="264"/>
      <c r="H50" s="249">
        <f>SUM(H51:H52)</f>
        <v>202.86</v>
      </c>
      <c r="I50" s="250" t="s">
        <v>2</v>
      </c>
    </row>
    <row r="51" spans="1:9" s="41" customFormat="1" x14ac:dyDescent="0.2">
      <c r="A51" s="251"/>
      <c r="B51" s="571" t="s">
        <v>482</v>
      </c>
      <c r="C51" s="253">
        <v>1</v>
      </c>
      <c r="D51" s="257">
        <v>18.350000000000001</v>
      </c>
      <c r="E51" s="257">
        <v>8.85</v>
      </c>
      <c r="F51" s="254"/>
      <c r="G51" s="215">
        <f>PRODUCT(D51:E51)</f>
        <v>162.39750000000001</v>
      </c>
      <c r="H51" s="255">
        <f>G51*C51</f>
        <v>162.39750000000001</v>
      </c>
      <c r="I51" s="256" t="s">
        <v>2</v>
      </c>
    </row>
    <row r="52" spans="1:9" s="43" customFormat="1" x14ac:dyDescent="0.2">
      <c r="A52" s="251"/>
      <c r="B52" s="571" t="s">
        <v>483</v>
      </c>
      <c r="C52" s="253">
        <v>1</v>
      </c>
      <c r="D52" s="526">
        <v>9.75</v>
      </c>
      <c r="E52" s="526">
        <v>4.1500000000000004</v>
      </c>
      <c r="F52" s="254"/>
      <c r="G52" s="215">
        <f>PRODUCT(D52:F52)</f>
        <v>40.462500000000006</v>
      </c>
      <c r="H52" s="255">
        <f>G52*C52</f>
        <v>40.462500000000006</v>
      </c>
      <c r="I52" s="256" t="s">
        <v>2</v>
      </c>
    </row>
    <row r="53" spans="1:9" s="43" customFormat="1" x14ac:dyDescent="0.2">
      <c r="A53" s="251"/>
      <c r="B53" s="252"/>
      <c r="C53" s="253"/>
      <c r="D53" s="526"/>
      <c r="E53" s="526"/>
      <c r="F53" s="254"/>
      <c r="G53" s="215"/>
      <c r="H53" s="255"/>
      <c r="I53" s="256"/>
    </row>
    <row r="54" spans="1:9" s="42" customFormat="1" ht="13.5" customHeight="1" x14ac:dyDescent="0.2">
      <c r="A54" s="260"/>
      <c r="B54" s="245" t="s">
        <v>102</v>
      </c>
      <c r="C54" s="261"/>
      <c r="D54" s="262"/>
      <c r="E54" s="262"/>
      <c r="F54" s="263"/>
      <c r="G54" s="264"/>
      <c r="H54" s="249">
        <f>SUM(H55:H56)</f>
        <v>124.08500000000001</v>
      </c>
      <c r="I54" s="250" t="s">
        <v>2</v>
      </c>
    </row>
    <row r="55" spans="1:9" s="41" customFormat="1" x14ac:dyDescent="0.2">
      <c r="A55" s="251"/>
      <c r="B55" s="571" t="s">
        <v>484</v>
      </c>
      <c r="C55" s="253">
        <v>1</v>
      </c>
      <c r="D55" s="257">
        <v>14.95</v>
      </c>
      <c r="E55" s="257">
        <v>8.3000000000000007</v>
      </c>
      <c r="F55" s="254"/>
      <c r="G55" s="215">
        <f>PRODUCT(D55:E55)</f>
        <v>124.08500000000001</v>
      </c>
      <c r="H55" s="255">
        <f>G55*C55</f>
        <v>124.08500000000001</v>
      </c>
      <c r="I55" s="256" t="s">
        <v>2</v>
      </c>
    </row>
    <row r="56" spans="1:9" s="43" customFormat="1" x14ac:dyDescent="0.2">
      <c r="A56" s="251"/>
      <c r="B56" s="252"/>
      <c r="C56" s="253"/>
      <c r="D56" s="526"/>
      <c r="E56" s="526"/>
      <c r="F56" s="254"/>
      <c r="G56" s="215"/>
      <c r="H56" s="255"/>
      <c r="I56" s="256"/>
    </row>
    <row r="57" spans="1:9" s="42" customFormat="1" ht="13.5" customHeight="1" x14ac:dyDescent="0.2">
      <c r="A57" s="260"/>
      <c r="B57" s="245" t="s">
        <v>103</v>
      </c>
      <c r="C57" s="261"/>
      <c r="D57" s="262"/>
      <c r="E57" s="262"/>
      <c r="F57" s="263"/>
      <c r="G57" s="264"/>
      <c r="H57" s="249">
        <f>SUM(H58:H60)</f>
        <v>202.86</v>
      </c>
      <c r="I57" s="250" t="s">
        <v>2</v>
      </c>
    </row>
    <row r="58" spans="1:9" s="41" customFormat="1" x14ac:dyDescent="0.2">
      <c r="A58" s="251"/>
      <c r="B58" s="571" t="s">
        <v>485</v>
      </c>
      <c r="C58" s="253">
        <v>1</v>
      </c>
      <c r="D58" s="257">
        <v>18.350000000000001</v>
      </c>
      <c r="E58" s="257">
        <v>8.85</v>
      </c>
      <c r="F58" s="254"/>
      <c r="G58" s="215">
        <f>PRODUCT(D58:E58)</f>
        <v>162.39750000000001</v>
      </c>
      <c r="H58" s="255">
        <f>G58*C58</f>
        <v>162.39750000000001</v>
      </c>
      <c r="I58" s="256" t="s">
        <v>2</v>
      </c>
    </row>
    <row r="59" spans="1:9" s="43" customFormat="1" x14ac:dyDescent="0.2">
      <c r="A59" s="251"/>
      <c r="B59" s="571" t="s">
        <v>486</v>
      </c>
      <c r="C59" s="253">
        <v>1</v>
      </c>
      <c r="D59" s="526">
        <v>9.75</v>
      </c>
      <c r="E59" s="526">
        <v>4.1500000000000004</v>
      </c>
      <c r="F59" s="254"/>
      <c r="G59" s="215">
        <f>PRODUCT(D59:F59)</f>
        <v>40.462500000000006</v>
      </c>
      <c r="H59" s="255">
        <f>G59*C59</f>
        <v>40.462500000000006</v>
      </c>
      <c r="I59" s="256" t="s">
        <v>2</v>
      </c>
    </row>
    <row r="60" spans="1:9" s="42" customFormat="1" ht="13.5" customHeight="1" x14ac:dyDescent="0.2">
      <c r="A60" s="251"/>
      <c r="B60" s="252"/>
      <c r="C60" s="253"/>
      <c r="D60" s="526"/>
      <c r="E60" s="526"/>
      <c r="F60" s="254"/>
      <c r="G60" s="215"/>
      <c r="H60" s="255"/>
      <c r="I60" s="256"/>
    </row>
    <row r="61" spans="1:9" s="41" customFormat="1" x14ac:dyDescent="0.2">
      <c r="A61" s="260"/>
      <c r="B61" s="245" t="s">
        <v>104</v>
      </c>
      <c r="C61" s="261"/>
      <c r="D61" s="262"/>
      <c r="E61" s="262"/>
      <c r="F61" s="263"/>
      <c r="G61" s="264"/>
      <c r="H61" s="249">
        <f>SUM(H62:H65)</f>
        <v>521.47299999999996</v>
      </c>
      <c r="I61" s="250" t="s">
        <v>2</v>
      </c>
    </row>
    <row r="62" spans="1:9" s="43" customFormat="1" x14ac:dyDescent="0.2">
      <c r="A62" s="251"/>
      <c r="B62" s="571" t="s">
        <v>487</v>
      </c>
      <c r="C62" s="253">
        <v>1</v>
      </c>
      <c r="D62" s="257">
        <v>18.98</v>
      </c>
      <c r="E62" s="257">
        <v>8.85</v>
      </c>
      <c r="F62" s="254"/>
      <c r="G62" s="215">
        <f>PRODUCT(D62:E62)</f>
        <v>167.97299999999998</v>
      </c>
      <c r="H62" s="255">
        <f>G62*C62</f>
        <v>167.97299999999998</v>
      </c>
      <c r="I62" s="256" t="s">
        <v>2</v>
      </c>
    </row>
    <row r="63" spans="1:9" s="42" customFormat="1" ht="13.5" customHeight="1" x14ac:dyDescent="0.2">
      <c r="A63" s="251"/>
      <c r="B63" s="571"/>
      <c r="C63" s="253">
        <v>1</v>
      </c>
      <c r="D63" s="257">
        <v>28.4</v>
      </c>
      <c r="E63" s="254">
        <v>8.85</v>
      </c>
      <c r="F63" s="254"/>
      <c r="G63" s="215">
        <f>PRODUCT(D63:E63)</f>
        <v>251.33999999999997</v>
      </c>
      <c r="H63" s="255">
        <f>G63*C63</f>
        <v>251.33999999999997</v>
      </c>
      <c r="I63" s="256" t="s">
        <v>2</v>
      </c>
    </row>
    <row r="64" spans="1:9" s="41" customFormat="1" x14ac:dyDescent="0.2">
      <c r="A64" s="251"/>
      <c r="B64" s="571"/>
      <c r="C64" s="253">
        <v>1</v>
      </c>
      <c r="D64" s="257" t="s">
        <v>488</v>
      </c>
      <c r="E64" s="254">
        <v>72.28</v>
      </c>
      <c r="F64" s="254"/>
      <c r="G64" s="215">
        <f>PRODUCT(D64:E64)</f>
        <v>72.28</v>
      </c>
      <c r="H64" s="255">
        <f>G64*C64</f>
        <v>72.28</v>
      </c>
      <c r="I64" s="256" t="s">
        <v>2</v>
      </c>
    </row>
    <row r="65" spans="1:9" s="43" customFormat="1" x14ac:dyDescent="0.2">
      <c r="A65" s="251"/>
      <c r="B65" s="571" t="s">
        <v>489</v>
      </c>
      <c r="C65" s="253">
        <v>1</v>
      </c>
      <c r="D65" s="526">
        <v>7.2</v>
      </c>
      <c r="E65" s="526">
        <v>4.1500000000000004</v>
      </c>
      <c r="F65" s="254"/>
      <c r="G65" s="215">
        <f>PRODUCT(D65:F65)</f>
        <v>29.880000000000003</v>
      </c>
      <c r="H65" s="255">
        <f>G65*C65</f>
        <v>29.880000000000003</v>
      </c>
      <c r="I65" s="256" t="s">
        <v>2</v>
      </c>
    </row>
    <row r="66" spans="1:9" s="41" customFormat="1" x14ac:dyDescent="0.2">
      <c r="A66" s="267"/>
      <c r="B66" s="268"/>
      <c r="C66" s="269"/>
      <c r="D66" s="270"/>
      <c r="E66" s="270"/>
      <c r="F66" s="271"/>
      <c r="G66" s="272"/>
      <c r="H66" s="273"/>
      <c r="I66" s="274"/>
    </row>
    <row r="67" spans="1:9" s="43" customFormat="1" x14ac:dyDescent="0.2">
      <c r="A67" s="260"/>
      <c r="B67" s="245" t="s">
        <v>490</v>
      </c>
      <c r="C67" s="261"/>
      <c r="D67" s="262"/>
      <c r="E67" s="262"/>
      <c r="F67" s="263"/>
      <c r="G67" s="264"/>
      <c r="H67" s="249">
        <f>SUM(H68:H71)</f>
        <v>6150</v>
      </c>
      <c r="I67" s="250" t="s">
        <v>2</v>
      </c>
    </row>
    <row r="68" spans="1:9" s="42" customFormat="1" ht="13.5" customHeight="1" x14ac:dyDescent="0.2">
      <c r="A68" s="267"/>
      <c r="B68" s="572" t="s">
        <v>113</v>
      </c>
      <c r="C68" s="269">
        <v>1</v>
      </c>
      <c r="D68" s="275">
        <v>25</v>
      </c>
      <c r="E68" s="276">
        <v>42</v>
      </c>
      <c r="F68" s="271"/>
      <c r="G68" s="277">
        <f>PRODUCT(D68:F68)</f>
        <v>1050</v>
      </c>
      <c r="H68" s="273">
        <f>G68*C68</f>
        <v>1050</v>
      </c>
      <c r="I68" s="274" t="s">
        <v>2</v>
      </c>
    </row>
    <row r="69" spans="1:9" s="42" customFormat="1" ht="13.5" customHeight="1" x14ac:dyDescent="0.2">
      <c r="A69" s="267"/>
      <c r="B69" s="572" t="s">
        <v>114</v>
      </c>
      <c r="C69" s="269">
        <v>1</v>
      </c>
      <c r="D69" s="275">
        <v>25</v>
      </c>
      <c r="E69" s="276">
        <v>42</v>
      </c>
      <c r="F69" s="271"/>
      <c r="G69" s="277">
        <f>PRODUCT(D69:F69)</f>
        <v>1050</v>
      </c>
      <c r="H69" s="273">
        <f>G69*C69</f>
        <v>1050</v>
      </c>
      <c r="I69" s="274" t="s">
        <v>2</v>
      </c>
    </row>
    <row r="70" spans="1:9" s="41" customFormat="1" x14ac:dyDescent="0.2">
      <c r="A70" s="251"/>
      <c r="B70" s="571" t="s">
        <v>491</v>
      </c>
      <c r="C70" s="253">
        <v>1</v>
      </c>
      <c r="D70" s="715">
        <v>4050</v>
      </c>
      <c r="E70" s="716"/>
      <c r="F70" s="254"/>
      <c r="G70" s="215">
        <f>PRODUCT(D70:F70)</f>
        <v>4050</v>
      </c>
      <c r="H70" s="255">
        <f>G70*C70</f>
        <v>4050</v>
      </c>
      <c r="I70" s="256" t="s">
        <v>2</v>
      </c>
    </row>
    <row r="71" spans="1:9" s="41" customFormat="1" x14ac:dyDescent="0.2">
      <c r="A71" s="267"/>
      <c r="B71" s="268"/>
      <c r="C71" s="269"/>
      <c r="D71" s="278"/>
      <c r="E71" s="270"/>
      <c r="F71" s="271"/>
      <c r="G71" s="272"/>
      <c r="H71" s="273"/>
      <c r="I71" s="274"/>
    </row>
    <row r="72" spans="1:9" s="41" customFormat="1" x14ac:dyDescent="0.2">
      <c r="A72" s="260"/>
      <c r="B72" s="245" t="s">
        <v>106</v>
      </c>
      <c r="C72" s="261"/>
      <c r="D72" s="262"/>
      <c r="E72" s="262"/>
      <c r="F72" s="263"/>
      <c r="G72" s="264"/>
      <c r="H72" s="249">
        <f>SUM(H73:H73)</f>
        <v>85.550000000000011</v>
      </c>
      <c r="I72" s="250" t="s">
        <v>2</v>
      </c>
    </row>
    <row r="73" spans="1:9" s="41" customFormat="1" x14ac:dyDescent="0.2">
      <c r="A73" s="251"/>
      <c r="B73" s="571" t="s">
        <v>116</v>
      </c>
      <c r="C73" s="253">
        <v>1</v>
      </c>
      <c r="D73" s="279">
        <v>11.8</v>
      </c>
      <c r="E73" s="526">
        <v>7.25</v>
      </c>
      <c r="F73" s="254"/>
      <c r="G73" s="215">
        <f>PRODUCT(D73:F73)</f>
        <v>85.550000000000011</v>
      </c>
      <c r="H73" s="255">
        <f>G73*C73</f>
        <v>85.550000000000011</v>
      </c>
      <c r="I73" s="256" t="s">
        <v>2</v>
      </c>
    </row>
    <row r="74" spans="1:9" s="41" customFormat="1" x14ac:dyDescent="0.2">
      <c r="A74" s="251"/>
      <c r="B74" s="252"/>
      <c r="C74" s="253"/>
      <c r="D74" s="280"/>
      <c r="E74" s="258"/>
      <c r="F74" s="254"/>
      <c r="G74" s="259"/>
      <c r="H74" s="255"/>
      <c r="I74" s="256"/>
    </row>
    <row r="75" spans="1:9" s="41" customFormat="1" x14ac:dyDescent="0.2">
      <c r="A75" s="260"/>
      <c r="B75" s="245" t="s">
        <v>107</v>
      </c>
      <c r="C75" s="261"/>
      <c r="D75" s="262"/>
      <c r="E75" s="262"/>
      <c r="F75" s="263"/>
      <c r="G75" s="264"/>
      <c r="H75" s="249">
        <f>SUM(H76:H76)</f>
        <v>121.92999999999999</v>
      </c>
      <c r="I75" s="250" t="s">
        <v>2</v>
      </c>
    </row>
    <row r="76" spans="1:9" s="41" customFormat="1" x14ac:dyDescent="0.2">
      <c r="A76" s="251"/>
      <c r="B76" s="571" t="s">
        <v>116</v>
      </c>
      <c r="C76" s="253">
        <v>1</v>
      </c>
      <c r="D76" s="279">
        <v>17.8</v>
      </c>
      <c r="E76" s="526">
        <v>6.85</v>
      </c>
      <c r="F76" s="254"/>
      <c r="G76" s="215">
        <f>PRODUCT(D76:F76)</f>
        <v>121.92999999999999</v>
      </c>
      <c r="H76" s="255">
        <f>G76*C76</f>
        <v>121.92999999999999</v>
      </c>
      <c r="I76" s="256" t="s">
        <v>2</v>
      </c>
    </row>
    <row r="77" spans="1:9" s="41" customFormat="1" x14ac:dyDescent="0.2">
      <c r="A77" s="251"/>
      <c r="B77" s="252"/>
      <c r="C77" s="253"/>
      <c r="D77" s="258"/>
      <c r="E77" s="258"/>
      <c r="F77" s="254"/>
      <c r="G77" s="259"/>
      <c r="H77" s="255"/>
      <c r="I77" s="256"/>
    </row>
    <row r="78" spans="1:9" s="41" customFormat="1" x14ac:dyDescent="0.2">
      <c r="A78" s="260"/>
      <c r="B78" s="245" t="s">
        <v>108</v>
      </c>
      <c r="C78" s="261"/>
      <c r="D78" s="262"/>
      <c r="E78" s="262"/>
      <c r="F78" s="263"/>
      <c r="G78" s="264"/>
      <c r="H78" s="249">
        <f>SUM(H79:H79)</f>
        <v>121.92999999999999</v>
      </c>
      <c r="I78" s="250" t="s">
        <v>2</v>
      </c>
    </row>
    <row r="79" spans="1:9" s="41" customFormat="1" x14ac:dyDescent="0.2">
      <c r="A79" s="251"/>
      <c r="B79" s="571" t="s">
        <v>116</v>
      </c>
      <c r="C79" s="253">
        <v>1</v>
      </c>
      <c r="D79" s="279">
        <v>17.8</v>
      </c>
      <c r="E79" s="526">
        <v>6.85</v>
      </c>
      <c r="F79" s="254"/>
      <c r="G79" s="215">
        <f>PRODUCT(D79:F79)</f>
        <v>121.92999999999999</v>
      </c>
      <c r="H79" s="255">
        <f>G79*C79</f>
        <v>121.92999999999999</v>
      </c>
      <c r="I79" s="256" t="s">
        <v>2</v>
      </c>
    </row>
    <row r="80" spans="1:9" s="41" customFormat="1" x14ac:dyDescent="0.2">
      <c r="A80" s="265"/>
      <c r="B80" s="252"/>
      <c r="C80" s="254"/>
      <c r="D80" s="254"/>
      <c r="E80" s="254"/>
      <c r="F80" s="254"/>
      <c r="G80" s="266"/>
      <c r="H80" s="257"/>
      <c r="I80" s="256"/>
    </row>
    <row r="81" spans="1:9" s="41" customFormat="1" x14ac:dyDescent="0.2">
      <c r="A81" s="260"/>
      <c r="B81" s="245" t="s">
        <v>109</v>
      </c>
      <c r="C81" s="261"/>
      <c r="D81" s="262"/>
      <c r="E81" s="262"/>
      <c r="F81" s="263"/>
      <c r="G81" s="264"/>
      <c r="H81" s="249">
        <f>SUM(H82:H82)</f>
        <v>85.550000000000011</v>
      </c>
      <c r="I81" s="250" t="s">
        <v>2</v>
      </c>
    </row>
    <row r="82" spans="1:9" s="41" customFormat="1" x14ac:dyDescent="0.2">
      <c r="A82" s="251"/>
      <c r="B82" s="571" t="s">
        <v>116</v>
      </c>
      <c r="C82" s="253">
        <v>1</v>
      </c>
      <c r="D82" s="280">
        <v>11.8</v>
      </c>
      <c r="E82" s="570">
        <v>7.25</v>
      </c>
      <c r="F82" s="254"/>
      <c r="G82" s="215">
        <f>PRODUCT(D82:F82)</f>
        <v>85.550000000000011</v>
      </c>
      <c r="H82" s="255">
        <f>G82*C82</f>
        <v>85.550000000000011</v>
      </c>
      <c r="I82" s="256" t="s">
        <v>2</v>
      </c>
    </row>
    <row r="83" spans="1:9" s="41" customFormat="1" x14ac:dyDescent="0.2">
      <c r="A83" s="265"/>
      <c r="B83" s="252"/>
      <c r="C83" s="254"/>
      <c r="D83" s="254"/>
      <c r="E83" s="254"/>
      <c r="F83" s="254"/>
      <c r="G83" s="266"/>
      <c r="H83" s="257"/>
      <c r="I83" s="256"/>
    </row>
    <row r="84" spans="1:9" s="41" customFormat="1" x14ac:dyDescent="0.2">
      <c r="A84" s="260"/>
      <c r="B84" s="245" t="s">
        <v>110</v>
      </c>
      <c r="C84" s="261"/>
      <c r="D84" s="262"/>
      <c r="E84" s="262"/>
      <c r="F84" s="263"/>
      <c r="G84" s="264"/>
      <c r="H84" s="249">
        <f>SUM(H85:H85)</f>
        <v>85.550000000000011</v>
      </c>
      <c r="I84" s="250" t="s">
        <v>2</v>
      </c>
    </row>
    <row r="85" spans="1:9" s="41" customFormat="1" x14ac:dyDescent="0.2">
      <c r="A85" s="251"/>
      <c r="B85" s="571" t="s">
        <v>116</v>
      </c>
      <c r="C85" s="253">
        <v>1</v>
      </c>
      <c r="D85" s="279">
        <v>11.8</v>
      </c>
      <c r="E85" s="526">
        <v>7.25</v>
      </c>
      <c r="F85" s="254"/>
      <c r="G85" s="215">
        <f>PRODUCT(D85:F85)</f>
        <v>85.550000000000011</v>
      </c>
      <c r="H85" s="255">
        <f>G85*C85</f>
        <v>85.550000000000011</v>
      </c>
      <c r="I85" s="256" t="s">
        <v>2</v>
      </c>
    </row>
    <row r="86" spans="1:9" s="41" customFormat="1" x14ac:dyDescent="0.2">
      <c r="A86" s="265"/>
      <c r="B86" s="252"/>
      <c r="C86" s="254"/>
      <c r="D86" s="254"/>
      <c r="E86" s="254"/>
      <c r="F86" s="254"/>
      <c r="G86" s="266"/>
      <c r="H86" s="257"/>
      <c r="I86" s="256"/>
    </row>
    <row r="87" spans="1:9" s="41" customFormat="1" x14ac:dyDescent="0.2">
      <c r="A87" s="265"/>
      <c r="B87" s="252"/>
      <c r="C87" s="254"/>
      <c r="D87" s="254"/>
      <c r="E87" s="254"/>
      <c r="F87" s="254"/>
      <c r="G87" s="266"/>
      <c r="H87" s="257"/>
      <c r="I87" s="256"/>
    </row>
    <row r="88" spans="1:9" s="41" customFormat="1" x14ac:dyDescent="0.2">
      <c r="A88" s="260"/>
      <c r="B88" s="245" t="s">
        <v>492</v>
      </c>
      <c r="C88" s="261"/>
      <c r="D88" s="262"/>
      <c r="E88" s="262"/>
      <c r="F88" s="263"/>
      <c r="G88" s="264"/>
      <c r="H88" s="249">
        <f>SUM(H89:H90)</f>
        <v>29.475000000000001</v>
      </c>
      <c r="I88" s="250" t="s">
        <v>2</v>
      </c>
    </row>
    <row r="89" spans="1:9" s="41" customFormat="1" x14ac:dyDescent="0.2">
      <c r="A89" s="251"/>
      <c r="B89" s="571" t="s">
        <v>492</v>
      </c>
      <c r="C89" s="253">
        <v>2</v>
      </c>
      <c r="D89" s="525">
        <v>3.93</v>
      </c>
      <c r="E89" s="526">
        <v>3.75</v>
      </c>
      <c r="F89" s="254"/>
      <c r="G89" s="215">
        <f>PRODUCT(D89:F89)</f>
        <v>14.737500000000001</v>
      </c>
      <c r="H89" s="255">
        <f>G89*C89</f>
        <v>29.475000000000001</v>
      </c>
      <c r="I89" s="256" t="s">
        <v>2</v>
      </c>
    </row>
    <row r="90" spans="1:9" s="41" customFormat="1" x14ac:dyDescent="0.2">
      <c r="A90" s="265"/>
      <c r="B90" s="252"/>
      <c r="C90" s="254"/>
      <c r="D90" s="254"/>
      <c r="E90" s="254"/>
      <c r="F90" s="254"/>
      <c r="G90" s="266"/>
      <c r="H90" s="257"/>
      <c r="I90" s="256"/>
    </row>
    <row r="91" spans="1:9" s="41" customFormat="1" x14ac:dyDescent="0.2">
      <c r="A91" s="260"/>
      <c r="B91" s="245" t="s">
        <v>160</v>
      </c>
      <c r="C91" s="261"/>
      <c r="D91" s="262"/>
      <c r="E91" s="262"/>
      <c r="F91" s="263"/>
      <c r="G91" s="264"/>
      <c r="H91" s="249">
        <f>SUM(H92:H93)</f>
        <v>133.91</v>
      </c>
      <c r="I91" s="250" t="s">
        <v>2</v>
      </c>
    </row>
    <row r="92" spans="1:9" s="41" customFormat="1" x14ac:dyDescent="0.2">
      <c r="A92" s="592"/>
      <c r="B92" s="593" t="s">
        <v>160</v>
      </c>
      <c r="C92" s="594">
        <v>1</v>
      </c>
      <c r="D92" s="715">
        <v>133.91</v>
      </c>
      <c r="E92" s="716"/>
      <c r="F92" s="376"/>
      <c r="G92" s="595">
        <f>PRODUCT(D92:F92)</f>
        <v>133.91</v>
      </c>
      <c r="H92" s="596">
        <f>G92*C92</f>
        <v>133.91</v>
      </c>
      <c r="I92" s="597" t="s">
        <v>2</v>
      </c>
    </row>
    <row r="93" spans="1:9" s="41" customFormat="1" x14ac:dyDescent="0.2">
      <c r="A93" s="265"/>
      <c r="B93" s="252"/>
      <c r="C93" s="254"/>
      <c r="D93" s="254"/>
      <c r="E93" s="254"/>
      <c r="F93" s="254"/>
      <c r="G93" s="266"/>
      <c r="H93" s="257"/>
      <c r="I93" s="256"/>
    </row>
    <row r="94" spans="1:9" s="41" customFormat="1" x14ac:dyDescent="0.2">
      <c r="A94" s="260"/>
      <c r="B94" s="245" t="s">
        <v>159</v>
      </c>
      <c r="C94" s="261"/>
      <c r="D94" s="262"/>
      <c r="E94" s="262"/>
      <c r="F94" s="263"/>
      <c r="G94" s="264"/>
      <c r="H94" s="249">
        <f>SUM(H95:H96)</f>
        <v>70.5</v>
      </c>
      <c r="I94" s="250" t="s">
        <v>2</v>
      </c>
    </row>
    <row r="95" spans="1:9" s="41" customFormat="1" x14ac:dyDescent="0.2">
      <c r="A95" s="251"/>
      <c r="B95" s="571" t="s">
        <v>159</v>
      </c>
      <c r="C95" s="253">
        <v>1</v>
      </c>
      <c r="D95" s="715">
        <v>70.5</v>
      </c>
      <c r="E95" s="716"/>
      <c r="F95" s="254"/>
      <c r="G95" s="215">
        <f>PRODUCT(D95:F95)</f>
        <v>70.5</v>
      </c>
      <c r="H95" s="255">
        <f>G95*C95</f>
        <v>70.5</v>
      </c>
      <c r="I95" s="256" t="s">
        <v>2</v>
      </c>
    </row>
    <row r="96" spans="1:9" s="41" customFormat="1" x14ac:dyDescent="0.2">
      <c r="A96" s="265"/>
      <c r="B96" s="252"/>
      <c r="C96" s="254"/>
      <c r="D96" s="254"/>
      <c r="E96" s="254"/>
      <c r="F96" s="254"/>
      <c r="G96" s="266"/>
      <c r="H96" s="257"/>
      <c r="I96" s="256"/>
    </row>
    <row r="97" spans="1:9" s="41" customFormat="1" x14ac:dyDescent="0.2">
      <c r="A97" s="260"/>
      <c r="B97" s="245" t="s">
        <v>156</v>
      </c>
      <c r="C97" s="261"/>
      <c r="D97" s="262"/>
      <c r="E97" s="262"/>
      <c r="F97" s="263"/>
      <c r="G97" s="264"/>
      <c r="H97" s="249">
        <f>SUM(H98:H99)</f>
        <v>27.774999999999999</v>
      </c>
      <c r="I97" s="250" t="s">
        <v>2</v>
      </c>
    </row>
    <row r="98" spans="1:9" s="41" customFormat="1" x14ac:dyDescent="0.2">
      <c r="A98" s="251"/>
      <c r="B98" s="571" t="s">
        <v>156</v>
      </c>
      <c r="C98" s="253">
        <v>1</v>
      </c>
      <c r="D98" s="279">
        <v>10.1</v>
      </c>
      <c r="E98" s="526">
        <v>2.75</v>
      </c>
      <c r="F98" s="254"/>
      <c r="G98" s="215">
        <f>PRODUCT(D98:F98)</f>
        <v>27.774999999999999</v>
      </c>
      <c r="H98" s="255">
        <f>G98*C98</f>
        <v>27.774999999999999</v>
      </c>
      <c r="I98" s="256" t="s">
        <v>2</v>
      </c>
    </row>
    <row r="99" spans="1:9" s="41" customFormat="1" x14ac:dyDescent="0.2">
      <c r="A99" s="265"/>
      <c r="B99" s="252"/>
      <c r="C99" s="254"/>
      <c r="D99" s="254"/>
      <c r="E99" s="254"/>
      <c r="F99" s="254"/>
      <c r="G99" s="266"/>
      <c r="H99" s="257"/>
      <c r="I99" s="256"/>
    </row>
    <row r="100" spans="1:9" s="41" customFormat="1" x14ac:dyDescent="0.2">
      <c r="A100" s="260"/>
      <c r="B100" s="245" t="s">
        <v>155</v>
      </c>
      <c r="C100" s="261"/>
      <c r="D100" s="262"/>
      <c r="E100" s="262"/>
      <c r="F100" s="263"/>
      <c r="G100" s="264"/>
      <c r="H100" s="249">
        <f>SUM(H101:H102)</f>
        <v>14.349999999999998</v>
      </c>
      <c r="I100" s="250" t="s">
        <v>2</v>
      </c>
    </row>
    <row r="101" spans="1:9" s="41" customFormat="1" x14ac:dyDescent="0.2">
      <c r="A101" s="251"/>
      <c r="B101" s="571" t="s">
        <v>155</v>
      </c>
      <c r="C101" s="253">
        <v>1</v>
      </c>
      <c r="D101" s="279">
        <v>4.0999999999999996</v>
      </c>
      <c r="E101" s="526">
        <v>3.5</v>
      </c>
      <c r="F101" s="254"/>
      <c r="G101" s="215">
        <f>PRODUCT(D101:F101)</f>
        <v>14.349999999999998</v>
      </c>
      <c r="H101" s="255">
        <f>G101*C101</f>
        <v>14.349999999999998</v>
      </c>
      <c r="I101" s="256" t="s">
        <v>2</v>
      </c>
    </row>
    <row r="102" spans="1:9" s="41" customFormat="1" x14ac:dyDescent="0.2">
      <c r="A102" s="265"/>
      <c r="B102" s="252"/>
      <c r="C102" s="254"/>
      <c r="D102" s="254"/>
      <c r="E102" s="254"/>
      <c r="F102" s="254"/>
      <c r="G102" s="266"/>
      <c r="H102" s="257"/>
      <c r="I102" s="256"/>
    </row>
    <row r="103" spans="1:9" s="41" customFormat="1" x14ac:dyDescent="0.2">
      <c r="A103" s="260"/>
      <c r="B103" s="245" t="s">
        <v>153</v>
      </c>
      <c r="C103" s="261"/>
      <c r="D103" s="262"/>
      <c r="E103" s="262"/>
      <c r="F103" s="263"/>
      <c r="G103" s="264"/>
      <c r="H103" s="249">
        <f>SUM(H104:H105)</f>
        <v>193.72499999999999</v>
      </c>
      <c r="I103" s="250" t="s">
        <v>2</v>
      </c>
    </row>
    <row r="104" spans="1:9" s="41" customFormat="1" x14ac:dyDescent="0.2">
      <c r="A104" s="251"/>
      <c r="B104" s="571" t="s">
        <v>154</v>
      </c>
      <c r="C104" s="253">
        <v>1</v>
      </c>
      <c r="D104" s="279">
        <v>47.25</v>
      </c>
      <c r="E104" s="526">
        <v>4.0999999999999996</v>
      </c>
      <c r="F104" s="254"/>
      <c r="G104" s="215">
        <f>PRODUCT(D104:F104)</f>
        <v>193.72499999999999</v>
      </c>
      <c r="H104" s="255">
        <f>G104*C104</f>
        <v>193.72499999999999</v>
      </c>
      <c r="I104" s="256" t="s">
        <v>2</v>
      </c>
    </row>
    <row r="105" spans="1:9" s="41" customFormat="1" x14ac:dyDescent="0.2">
      <c r="A105" s="265"/>
      <c r="B105" s="252"/>
      <c r="C105" s="254"/>
      <c r="D105" s="254"/>
      <c r="E105" s="254"/>
      <c r="F105" s="254"/>
      <c r="G105" s="266"/>
      <c r="H105" s="257"/>
      <c r="I105" s="256"/>
    </row>
    <row r="106" spans="1:9" s="41" customFormat="1" x14ac:dyDescent="0.2">
      <c r="A106" s="260"/>
      <c r="B106" s="245" t="s">
        <v>130</v>
      </c>
      <c r="C106" s="261"/>
      <c r="D106" s="262"/>
      <c r="E106" s="262"/>
      <c r="F106" s="263"/>
      <c r="G106" s="264"/>
      <c r="H106" s="249">
        <f>SUM(H108:H150)</f>
        <v>651.66949999999997</v>
      </c>
      <c r="I106" s="250" t="s">
        <v>2</v>
      </c>
    </row>
    <row r="107" spans="1:9" s="41" customFormat="1" x14ac:dyDescent="0.2">
      <c r="A107" s="237"/>
      <c r="B107" s="288" t="s">
        <v>124</v>
      </c>
      <c r="C107" s="239"/>
      <c r="D107" s="289"/>
      <c r="E107" s="290"/>
      <c r="F107" s="207"/>
      <c r="G107" s="241"/>
      <c r="H107" s="291"/>
      <c r="I107" s="292"/>
    </row>
    <row r="108" spans="1:9" s="41" customFormat="1" x14ac:dyDescent="0.2">
      <c r="A108" s="251"/>
      <c r="B108" s="573" t="s">
        <v>117</v>
      </c>
      <c r="C108" s="253">
        <v>1</v>
      </c>
      <c r="D108" s="279">
        <v>53.34</v>
      </c>
      <c r="E108" s="526">
        <v>0.8</v>
      </c>
      <c r="F108" s="254"/>
      <c r="G108" s="215">
        <f>PRODUCT(D108:F108)</f>
        <v>42.672000000000004</v>
      </c>
      <c r="H108" s="255">
        <f>G108*C108</f>
        <v>42.672000000000004</v>
      </c>
      <c r="I108" s="256" t="s">
        <v>2</v>
      </c>
    </row>
    <row r="109" spans="1:9" s="41" customFormat="1" x14ac:dyDescent="0.2">
      <c r="A109" s="251"/>
      <c r="B109" s="571"/>
      <c r="C109" s="253">
        <v>1</v>
      </c>
      <c r="D109" s="279">
        <v>53.95</v>
      </c>
      <c r="E109" s="526">
        <v>0.8</v>
      </c>
      <c r="F109" s="254"/>
      <c r="G109" s="215">
        <f>PRODUCT(D109:F109)</f>
        <v>43.160000000000004</v>
      </c>
      <c r="H109" s="255">
        <f>G109*C109</f>
        <v>43.160000000000004</v>
      </c>
      <c r="I109" s="256" t="s">
        <v>2</v>
      </c>
    </row>
    <row r="110" spans="1:9" s="41" customFormat="1" x14ac:dyDescent="0.2">
      <c r="A110" s="251"/>
      <c r="B110" s="571"/>
      <c r="C110" s="253"/>
      <c r="D110" s="258"/>
      <c r="E110" s="258"/>
      <c r="F110" s="254"/>
      <c r="G110" s="259"/>
      <c r="H110" s="255"/>
      <c r="I110" s="256"/>
    </row>
    <row r="111" spans="1:9" s="41" customFormat="1" x14ac:dyDescent="0.2">
      <c r="A111" s="251"/>
      <c r="B111" s="573" t="s">
        <v>118</v>
      </c>
      <c r="C111" s="253">
        <v>1</v>
      </c>
      <c r="D111" s="279">
        <v>14.09</v>
      </c>
      <c r="E111" s="526">
        <v>0.8</v>
      </c>
      <c r="F111" s="254"/>
      <c r="G111" s="215">
        <f>PRODUCT(D111:F111)</f>
        <v>11.272</v>
      </c>
      <c r="H111" s="255">
        <f>G111*C111</f>
        <v>11.272</v>
      </c>
      <c r="I111" s="256" t="s">
        <v>2</v>
      </c>
    </row>
    <row r="112" spans="1:9" s="41" customFormat="1" x14ac:dyDescent="0.2">
      <c r="A112" s="251"/>
      <c r="B112" s="571"/>
      <c r="C112" s="253">
        <v>1</v>
      </c>
      <c r="D112" s="279">
        <v>10.83</v>
      </c>
      <c r="E112" s="526">
        <v>0.8</v>
      </c>
      <c r="F112" s="254"/>
      <c r="G112" s="215">
        <f>PRODUCT(D112:F112)</f>
        <v>8.6639999999999997</v>
      </c>
      <c r="H112" s="255">
        <f>G112*C112</f>
        <v>8.6639999999999997</v>
      </c>
      <c r="I112" s="256" t="s">
        <v>2</v>
      </c>
    </row>
    <row r="113" spans="1:9" s="41" customFormat="1" x14ac:dyDescent="0.2">
      <c r="A113" s="251"/>
      <c r="B113" s="571"/>
      <c r="C113" s="253"/>
      <c r="D113" s="258"/>
      <c r="E113" s="258"/>
      <c r="F113" s="254"/>
      <c r="G113" s="259"/>
      <c r="H113" s="255"/>
      <c r="I113" s="256"/>
    </row>
    <row r="114" spans="1:9" s="41" customFormat="1" x14ac:dyDescent="0.2">
      <c r="A114" s="251"/>
      <c r="B114" s="573" t="s">
        <v>119</v>
      </c>
      <c r="C114" s="253">
        <v>1</v>
      </c>
      <c r="D114" s="279">
        <v>9.25</v>
      </c>
      <c r="E114" s="526">
        <v>0.8</v>
      </c>
      <c r="F114" s="254"/>
      <c r="G114" s="215">
        <f>PRODUCT(D114:F114)</f>
        <v>7.4</v>
      </c>
      <c r="H114" s="255">
        <f>G114*C114</f>
        <v>7.4</v>
      </c>
      <c r="I114" s="256" t="s">
        <v>2</v>
      </c>
    </row>
    <row r="115" spans="1:9" s="41" customFormat="1" x14ac:dyDescent="0.2">
      <c r="A115" s="251"/>
      <c r="B115" s="571"/>
      <c r="C115" s="253">
        <v>1</v>
      </c>
      <c r="D115" s="279">
        <v>10.97</v>
      </c>
      <c r="E115" s="526">
        <v>0.8</v>
      </c>
      <c r="F115" s="254"/>
      <c r="G115" s="215">
        <f>PRODUCT(D115:F115)</f>
        <v>8.7760000000000016</v>
      </c>
      <c r="H115" s="255">
        <f>G115*C115</f>
        <v>8.7760000000000016</v>
      </c>
      <c r="I115" s="256" t="s">
        <v>2</v>
      </c>
    </row>
    <row r="116" spans="1:9" s="41" customFormat="1" x14ac:dyDescent="0.2">
      <c r="A116" s="251"/>
      <c r="B116" s="571"/>
      <c r="C116" s="253"/>
      <c r="D116" s="258"/>
      <c r="E116" s="258"/>
      <c r="F116" s="254"/>
      <c r="G116" s="259"/>
      <c r="H116" s="255"/>
      <c r="I116" s="256"/>
    </row>
    <row r="117" spans="1:9" s="41" customFormat="1" x14ac:dyDescent="0.2">
      <c r="A117" s="251"/>
      <c r="B117" s="571"/>
      <c r="C117" s="253"/>
      <c r="D117" s="258"/>
      <c r="E117" s="258"/>
      <c r="F117" s="254"/>
      <c r="G117" s="259"/>
      <c r="H117" s="255"/>
      <c r="I117" s="256"/>
    </row>
    <row r="118" spans="1:9" s="41" customFormat="1" x14ac:dyDescent="0.2">
      <c r="A118" s="251"/>
      <c r="B118" s="573" t="s">
        <v>120</v>
      </c>
      <c r="C118" s="253">
        <v>1</v>
      </c>
      <c r="D118" s="279">
        <v>26.97</v>
      </c>
      <c r="E118" s="526">
        <v>0.8</v>
      </c>
      <c r="F118" s="254"/>
      <c r="G118" s="215">
        <f>PRODUCT(D118:F118)</f>
        <v>21.576000000000001</v>
      </c>
      <c r="H118" s="255">
        <f>G118*C118</f>
        <v>21.576000000000001</v>
      </c>
      <c r="I118" s="256" t="s">
        <v>2</v>
      </c>
    </row>
    <row r="119" spans="1:9" s="41" customFormat="1" x14ac:dyDescent="0.2">
      <c r="A119" s="251"/>
      <c r="B119" s="571"/>
      <c r="C119" s="253"/>
      <c r="D119" s="258"/>
      <c r="E119" s="258"/>
      <c r="F119" s="254"/>
      <c r="G119" s="259"/>
      <c r="H119" s="255"/>
      <c r="I119" s="256"/>
    </row>
    <row r="120" spans="1:9" s="41" customFormat="1" x14ac:dyDescent="0.2">
      <c r="A120" s="251"/>
      <c r="B120" s="573" t="s">
        <v>121</v>
      </c>
      <c r="C120" s="253">
        <v>1</v>
      </c>
      <c r="D120" s="279">
        <v>11.58</v>
      </c>
      <c r="E120" s="526">
        <v>0.8</v>
      </c>
      <c r="F120" s="254"/>
      <c r="G120" s="215">
        <f>PRODUCT(D120:F120)</f>
        <v>9.2640000000000011</v>
      </c>
      <c r="H120" s="255">
        <f>G120*C120</f>
        <v>9.2640000000000011</v>
      </c>
      <c r="I120" s="256" t="s">
        <v>2</v>
      </c>
    </row>
    <row r="121" spans="1:9" s="41" customFormat="1" x14ac:dyDescent="0.2">
      <c r="A121" s="251"/>
      <c r="B121" s="571"/>
      <c r="C121" s="253"/>
      <c r="D121" s="258"/>
      <c r="E121" s="258"/>
      <c r="F121" s="254"/>
      <c r="G121" s="259"/>
      <c r="H121" s="255"/>
      <c r="I121" s="256"/>
    </row>
    <row r="122" spans="1:9" s="41" customFormat="1" x14ac:dyDescent="0.2">
      <c r="A122" s="251"/>
      <c r="B122" s="573" t="s">
        <v>122</v>
      </c>
      <c r="C122" s="253">
        <v>1</v>
      </c>
      <c r="D122" s="279">
        <v>52.49</v>
      </c>
      <c r="E122" s="526">
        <v>0.8</v>
      </c>
      <c r="F122" s="254"/>
      <c r="G122" s="215">
        <f>PRODUCT(D122:F122)</f>
        <v>41.992000000000004</v>
      </c>
      <c r="H122" s="255">
        <f>G122*C122</f>
        <v>41.992000000000004</v>
      </c>
      <c r="I122" s="256" t="s">
        <v>2</v>
      </c>
    </row>
    <row r="123" spans="1:9" s="41" customFormat="1" x14ac:dyDescent="0.2">
      <c r="A123" s="251"/>
      <c r="B123" s="252"/>
      <c r="C123" s="253">
        <v>1</v>
      </c>
      <c r="D123" s="279">
        <v>75.930000000000007</v>
      </c>
      <c r="E123" s="526">
        <v>0.8</v>
      </c>
      <c r="F123" s="254"/>
      <c r="G123" s="215">
        <f>PRODUCT(D123:F123)</f>
        <v>60.744000000000007</v>
      </c>
      <c r="H123" s="255">
        <f>G123*C123</f>
        <v>60.744000000000007</v>
      </c>
      <c r="I123" s="256" t="s">
        <v>2</v>
      </c>
    </row>
    <row r="124" spans="1:9" s="41" customFormat="1" x14ac:dyDescent="0.2">
      <c r="A124" s="251"/>
      <c r="B124" s="252"/>
      <c r="C124" s="253"/>
      <c r="D124" s="258"/>
      <c r="E124" s="258"/>
      <c r="F124" s="254"/>
      <c r="G124" s="259"/>
      <c r="H124" s="255"/>
      <c r="I124" s="256"/>
    </row>
    <row r="125" spans="1:9" s="41" customFormat="1" x14ac:dyDescent="0.2">
      <c r="A125" s="251"/>
      <c r="B125" s="573" t="s">
        <v>123</v>
      </c>
      <c r="C125" s="253">
        <v>1</v>
      </c>
      <c r="D125" s="279">
        <v>2.23</v>
      </c>
      <c r="E125" s="526">
        <v>0.8</v>
      </c>
      <c r="F125" s="254"/>
      <c r="G125" s="215">
        <f>PRODUCT(D125:F125)</f>
        <v>1.784</v>
      </c>
      <c r="H125" s="255">
        <f>G125*C125</f>
        <v>1.784</v>
      </c>
      <c r="I125" s="256" t="s">
        <v>2</v>
      </c>
    </row>
    <row r="126" spans="1:9" s="41" customFormat="1" x14ac:dyDescent="0.2">
      <c r="A126" s="251"/>
      <c r="B126" s="571"/>
      <c r="C126" s="253">
        <v>1</v>
      </c>
      <c r="D126" s="279">
        <v>14.94</v>
      </c>
      <c r="E126" s="526">
        <v>0.8</v>
      </c>
      <c r="F126" s="254"/>
      <c r="G126" s="215">
        <f>PRODUCT(D126:F126)</f>
        <v>11.952</v>
      </c>
      <c r="H126" s="255">
        <f>G126*C126</f>
        <v>11.952</v>
      </c>
      <c r="I126" s="256" t="s">
        <v>2</v>
      </c>
    </row>
    <row r="127" spans="1:9" s="41" customFormat="1" x14ac:dyDescent="0.2">
      <c r="A127" s="251"/>
      <c r="B127" s="571"/>
      <c r="C127" s="253">
        <v>1</v>
      </c>
      <c r="D127" s="279">
        <v>75.989999999999995</v>
      </c>
      <c r="E127" s="526">
        <v>0.8</v>
      </c>
      <c r="F127" s="254"/>
      <c r="G127" s="215">
        <f>PRODUCT(D127:F127)</f>
        <v>60.792000000000002</v>
      </c>
      <c r="H127" s="255">
        <f>G127*C127</f>
        <v>60.792000000000002</v>
      </c>
      <c r="I127" s="256" t="s">
        <v>2</v>
      </c>
    </row>
    <row r="128" spans="1:9" s="41" customFormat="1" x14ac:dyDescent="0.2">
      <c r="A128" s="251"/>
      <c r="B128" s="571"/>
      <c r="C128" s="253"/>
      <c r="D128" s="258"/>
      <c r="E128" s="258"/>
      <c r="F128" s="254"/>
      <c r="G128" s="259"/>
      <c r="H128" s="255"/>
      <c r="I128" s="256"/>
    </row>
    <row r="129" spans="1:9" s="41" customFormat="1" x14ac:dyDescent="0.2">
      <c r="A129" s="251"/>
      <c r="B129" s="573" t="s">
        <v>125</v>
      </c>
      <c r="C129" s="253">
        <v>1</v>
      </c>
      <c r="D129" s="279">
        <v>11.72</v>
      </c>
      <c r="E129" s="526">
        <v>0.8</v>
      </c>
      <c r="F129" s="254"/>
      <c r="G129" s="215">
        <f>PRODUCT(D129:F129)</f>
        <v>9.3760000000000012</v>
      </c>
      <c r="H129" s="255">
        <f>G129*C129</f>
        <v>9.3760000000000012</v>
      </c>
      <c r="I129" s="256" t="s">
        <v>2</v>
      </c>
    </row>
    <row r="130" spans="1:9" s="41" customFormat="1" x14ac:dyDescent="0.2">
      <c r="A130" s="251"/>
      <c r="B130" s="571"/>
      <c r="C130" s="253"/>
      <c r="D130" s="258"/>
      <c r="E130" s="258"/>
      <c r="F130" s="254"/>
      <c r="G130" s="259"/>
      <c r="H130" s="255"/>
      <c r="I130" s="256"/>
    </row>
    <row r="131" spans="1:9" s="41" customFormat="1" x14ac:dyDescent="0.2">
      <c r="A131" s="251"/>
      <c r="B131" s="573" t="s">
        <v>126</v>
      </c>
      <c r="C131" s="253">
        <v>1</v>
      </c>
      <c r="D131" s="279">
        <v>10</v>
      </c>
      <c r="E131" s="526">
        <v>0.8</v>
      </c>
      <c r="F131" s="254"/>
      <c r="G131" s="215">
        <f>PRODUCT(D131:F131)</f>
        <v>8</v>
      </c>
      <c r="H131" s="255">
        <f>G131*C131</f>
        <v>8</v>
      </c>
      <c r="I131" s="256" t="s">
        <v>2</v>
      </c>
    </row>
    <row r="132" spans="1:9" s="41" customFormat="1" x14ac:dyDescent="0.2">
      <c r="A132" s="251"/>
      <c r="B132" s="571"/>
      <c r="C132" s="253"/>
      <c r="D132" s="258"/>
      <c r="E132" s="258"/>
      <c r="F132" s="254"/>
      <c r="G132" s="259"/>
      <c r="H132" s="255"/>
      <c r="I132" s="256"/>
    </row>
    <row r="133" spans="1:9" s="41" customFormat="1" x14ac:dyDescent="0.2">
      <c r="A133" s="251"/>
      <c r="B133" s="573" t="s">
        <v>127</v>
      </c>
      <c r="C133" s="253">
        <v>1</v>
      </c>
      <c r="D133" s="279">
        <v>10.36</v>
      </c>
      <c r="E133" s="526">
        <v>0.8</v>
      </c>
      <c r="F133" s="254"/>
      <c r="G133" s="215">
        <f>PRODUCT(D133:F133)</f>
        <v>8.2880000000000003</v>
      </c>
      <c r="H133" s="255">
        <f>G133*C133</f>
        <v>8.2880000000000003</v>
      </c>
      <c r="I133" s="256" t="s">
        <v>2</v>
      </c>
    </row>
    <row r="134" spans="1:9" s="41" customFormat="1" x14ac:dyDescent="0.2">
      <c r="A134" s="251"/>
      <c r="B134" s="571"/>
      <c r="C134" s="253">
        <v>1</v>
      </c>
      <c r="D134" s="279">
        <v>53.06</v>
      </c>
      <c r="E134" s="526">
        <v>0.8</v>
      </c>
      <c r="F134" s="254"/>
      <c r="G134" s="215">
        <f>PRODUCT(D134:F134)</f>
        <v>42.448000000000008</v>
      </c>
      <c r="H134" s="255">
        <f>G134*C134</f>
        <v>42.448000000000008</v>
      </c>
      <c r="I134" s="256" t="s">
        <v>2</v>
      </c>
    </row>
    <row r="135" spans="1:9" s="41" customFormat="1" x14ac:dyDescent="0.2">
      <c r="A135" s="251"/>
      <c r="B135" s="252"/>
      <c r="C135" s="253">
        <v>1</v>
      </c>
      <c r="D135" s="279">
        <v>2.21</v>
      </c>
      <c r="E135" s="526">
        <v>0.8</v>
      </c>
      <c r="F135" s="254"/>
      <c r="G135" s="215">
        <f>PRODUCT(D135:F135)</f>
        <v>1.768</v>
      </c>
      <c r="H135" s="255">
        <f>G135*C135</f>
        <v>1.768</v>
      </c>
      <c r="I135" s="256" t="s">
        <v>2</v>
      </c>
    </row>
    <row r="136" spans="1:9" s="41" customFormat="1" x14ac:dyDescent="0.2">
      <c r="A136" s="251"/>
      <c r="B136" s="252"/>
      <c r="C136" s="253">
        <v>1</v>
      </c>
      <c r="D136" s="279">
        <v>1.25</v>
      </c>
      <c r="E136" s="526">
        <v>0.8</v>
      </c>
      <c r="F136" s="254"/>
      <c r="G136" s="215">
        <f>PRODUCT(D136:F136)</f>
        <v>1</v>
      </c>
      <c r="H136" s="255">
        <f>G136*C136</f>
        <v>1</v>
      </c>
      <c r="I136" s="256" t="s">
        <v>2</v>
      </c>
    </row>
    <row r="137" spans="1:9" s="41" customFormat="1" x14ac:dyDescent="0.2">
      <c r="A137" s="251"/>
      <c r="B137" s="252"/>
      <c r="C137" s="253"/>
      <c r="D137" s="258"/>
      <c r="E137" s="258"/>
      <c r="F137" s="254"/>
      <c r="G137" s="259"/>
      <c r="H137" s="255"/>
      <c r="I137" s="256"/>
    </row>
    <row r="138" spans="1:9" s="41" customFormat="1" x14ac:dyDescent="0.2">
      <c r="A138" s="251"/>
      <c r="B138" s="573" t="s">
        <v>128</v>
      </c>
      <c r="C138" s="253">
        <v>1</v>
      </c>
      <c r="D138" s="279">
        <v>18.010000000000002</v>
      </c>
      <c r="E138" s="526">
        <v>0.8</v>
      </c>
      <c r="F138" s="254"/>
      <c r="G138" s="215">
        <f>PRODUCT(D138:F138)</f>
        <v>14.408000000000001</v>
      </c>
      <c r="H138" s="255">
        <f>G138*C138</f>
        <v>14.408000000000001</v>
      </c>
      <c r="I138" s="256" t="s">
        <v>2</v>
      </c>
    </row>
    <row r="139" spans="1:9" s="41" customFormat="1" x14ac:dyDescent="0.2">
      <c r="A139" s="251"/>
      <c r="B139" s="571"/>
      <c r="C139" s="253">
        <v>1</v>
      </c>
      <c r="D139" s="279">
        <v>63.94</v>
      </c>
      <c r="E139" s="526">
        <v>0.8</v>
      </c>
      <c r="F139" s="254"/>
      <c r="G139" s="215">
        <f>PRODUCT(D139:F139)</f>
        <v>51.152000000000001</v>
      </c>
      <c r="H139" s="255">
        <f>G139*C139</f>
        <v>51.152000000000001</v>
      </c>
      <c r="I139" s="256" t="s">
        <v>2</v>
      </c>
    </row>
    <row r="140" spans="1:9" s="41" customFormat="1" x14ac:dyDescent="0.2">
      <c r="A140" s="251"/>
      <c r="B140" s="571"/>
      <c r="C140" s="253">
        <v>1</v>
      </c>
      <c r="D140" s="279">
        <v>60.64</v>
      </c>
      <c r="E140" s="526">
        <v>0.8</v>
      </c>
      <c r="F140" s="254"/>
      <c r="G140" s="215">
        <f>PRODUCT(D140:F140)</f>
        <v>48.512</v>
      </c>
      <c r="H140" s="255">
        <f>G140*C140</f>
        <v>48.512</v>
      </c>
      <c r="I140" s="256" t="s">
        <v>2</v>
      </c>
    </row>
    <row r="141" spans="1:9" s="41" customFormat="1" x14ac:dyDescent="0.2">
      <c r="A141" s="251"/>
      <c r="B141" s="571"/>
      <c r="C141" s="253"/>
      <c r="D141" s="258"/>
      <c r="E141" s="258"/>
      <c r="F141" s="254"/>
      <c r="G141" s="259"/>
      <c r="H141" s="255"/>
      <c r="I141" s="256"/>
    </row>
    <row r="142" spans="1:9" s="41" customFormat="1" x14ac:dyDescent="0.2">
      <c r="A142" s="251"/>
      <c r="B142" s="573" t="s">
        <v>129</v>
      </c>
      <c r="C142" s="253">
        <v>1</v>
      </c>
      <c r="D142" s="279">
        <v>20.65</v>
      </c>
      <c r="E142" s="526">
        <v>0.8</v>
      </c>
      <c r="F142" s="254"/>
      <c r="G142" s="215">
        <f>PRODUCT(D142:F142)</f>
        <v>16.52</v>
      </c>
      <c r="H142" s="255">
        <f>G142*C142</f>
        <v>16.52</v>
      </c>
      <c r="I142" s="256" t="s">
        <v>2</v>
      </c>
    </row>
    <row r="143" spans="1:9" s="41" customFormat="1" x14ac:dyDescent="0.2">
      <c r="A143" s="251"/>
      <c r="B143" s="571"/>
      <c r="C143" s="253"/>
      <c r="D143" s="258"/>
      <c r="E143" s="258"/>
      <c r="F143" s="254"/>
      <c r="G143" s="259"/>
      <c r="H143" s="255"/>
      <c r="I143" s="256"/>
    </row>
    <row r="144" spans="1:9" s="41" customFormat="1" x14ac:dyDescent="0.2">
      <c r="A144" s="237"/>
      <c r="B144" s="288" t="s">
        <v>132</v>
      </c>
      <c r="C144" s="239"/>
      <c r="D144" s="728" t="s">
        <v>53</v>
      </c>
      <c r="E144" s="729"/>
      <c r="F144" s="207"/>
      <c r="G144" s="241"/>
      <c r="H144" s="291"/>
      <c r="I144" s="292"/>
    </row>
    <row r="145" spans="1:9" s="41" customFormat="1" x14ac:dyDescent="0.2">
      <c r="A145" s="251"/>
      <c r="B145" s="571" t="s">
        <v>131</v>
      </c>
      <c r="C145" s="253">
        <v>1</v>
      </c>
      <c r="D145" s="730">
        <v>95.55</v>
      </c>
      <c r="E145" s="731"/>
      <c r="F145" s="254"/>
      <c r="G145" s="215">
        <f>PRODUCT(D145:F145)</f>
        <v>95.55</v>
      </c>
      <c r="H145" s="255">
        <f>G145*C145</f>
        <v>95.55</v>
      </c>
      <c r="I145" s="256" t="s">
        <v>2</v>
      </c>
    </row>
    <row r="146" spans="1:9" s="41" customFormat="1" x14ac:dyDescent="0.2">
      <c r="A146" s="251"/>
      <c r="B146" s="571"/>
      <c r="C146" s="253"/>
      <c r="D146" s="258"/>
      <c r="E146" s="258"/>
      <c r="F146" s="254"/>
      <c r="G146" s="259"/>
      <c r="H146" s="255"/>
      <c r="I146" s="256"/>
    </row>
    <row r="147" spans="1:9" s="41" customFormat="1" x14ac:dyDescent="0.2">
      <c r="A147" s="237"/>
      <c r="B147" s="288" t="s">
        <v>133</v>
      </c>
      <c r="C147" s="239"/>
      <c r="D147" s="728" t="s">
        <v>53</v>
      </c>
      <c r="E147" s="729"/>
      <c r="F147" s="207"/>
      <c r="G147" s="241"/>
      <c r="H147" s="291"/>
      <c r="I147" s="292"/>
    </row>
    <row r="148" spans="1:9" s="41" customFormat="1" x14ac:dyDescent="0.2">
      <c r="A148" s="251"/>
      <c r="B148" s="571" t="s">
        <v>134</v>
      </c>
      <c r="C148" s="253">
        <v>1</v>
      </c>
      <c r="D148" s="715">
        <v>13.69</v>
      </c>
      <c r="E148" s="716"/>
      <c r="F148" s="254"/>
      <c r="G148" s="215">
        <f>PRODUCT(D148:F148)</f>
        <v>13.69</v>
      </c>
      <c r="H148" s="255">
        <f>G148*C148</f>
        <v>13.69</v>
      </c>
      <c r="I148" s="256" t="s">
        <v>2</v>
      </c>
    </row>
    <row r="149" spans="1:9" s="41" customFormat="1" x14ac:dyDescent="0.2">
      <c r="A149" s="251"/>
      <c r="B149" s="252"/>
      <c r="C149" s="253">
        <v>1</v>
      </c>
      <c r="D149" s="525">
        <v>10.39</v>
      </c>
      <c r="E149" s="279">
        <v>1.05</v>
      </c>
      <c r="F149" s="254"/>
      <c r="G149" s="215">
        <f>PRODUCT(D149:F149)</f>
        <v>10.909500000000001</v>
      </c>
      <c r="H149" s="255">
        <f>G149*C149</f>
        <v>10.909500000000001</v>
      </c>
      <c r="I149" s="256" t="s">
        <v>2</v>
      </c>
    </row>
    <row r="150" spans="1:9" s="41" customFormat="1" ht="13.5" thickBot="1" x14ac:dyDescent="0.25">
      <c r="A150" s="281"/>
      <c r="B150" s="282"/>
      <c r="C150" s="283"/>
      <c r="D150" s="284"/>
      <c r="E150" s="293"/>
      <c r="F150" s="285"/>
      <c r="G150" s="294"/>
      <c r="H150" s="286"/>
      <c r="I150" s="287"/>
    </row>
    <row r="151" spans="1:9" s="41" customFormat="1" x14ac:dyDescent="0.2">
      <c r="A151" s="260"/>
      <c r="B151" s="245" t="s">
        <v>493</v>
      </c>
      <c r="C151" s="261"/>
      <c r="D151" s="262"/>
      <c r="E151" s="262"/>
      <c r="F151" s="263"/>
      <c r="G151" s="264"/>
      <c r="H151" s="249">
        <f>SUM(H153:H158)</f>
        <v>4872.4399999999996</v>
      </c>
      <c r="I151" s="250" t="s">
        <v>2</v>
      </c>
    </row>
    <row r="152" spans="1:9" s="41" customFormat="1" x14ac:dyDescent="0.2">
      <c r="A152" s="237"/>
      <c r="B152" s="238"/>
      <c r="C152" s="239"/>
      <c r="D152" s="295"/>
      <c r="E152" s="295"/>
      <c r="F152" s="207"/>
      <c r="G152" s="241"/>
      <c r="H152" s="291"/>
      <c r="I152" s="292"/>
    </row>
    <row r="153" spans="1:9" s="41" customFormat="1" x14ac:dyDescent="0.2">
      <c r="A153" s="251"/>
      <c r="B153" s="571" t="s">
        <v>494</v>
      </c>
      <c r="C153" s="253">
        <v>1</v>
      </c>
      <c r="D153" s="715">
        <v>2642.39</v>
      </c>
      <c r="E153" s="716"/>
      <c r="F153" s="254"/>
      <c r="G153" s="215">
        <f>PRODUCT(D153:E153)</f>
        <v>2642.39</v>
      </c>
      <c r="H153" s="255">
        <f>G153*C153</f>
        <v>2642.39</v>
      </c>
      <c r="I153" s="256" t="s">
        <v>2</v>
      </c>
    </row>
    <row r="154" spans="1:9" s="41" customFormat="1" x14ac:dyDescent="0.2">
      <c r="A154" s="251"/>
      <c r="B154" s="571" t="s">
        <v>495</v>
      </c>
      <c r="C154" s="253">
        <v>1</v>
      </c>
      <c r="D154" s="715">
        <f>179.4+11.22</f>
        <v>190.62</v>
      </c>
      <c r="E154" s="716"/>
      <c r="F154" s="254"/>
      <c r="G154" s="215">
        <f>PRODUCT(D154:E154)</f>
        <v>190.62</v>
      </c>
      <c r="H154" s="255">
        <f t="shared" ref="H154:H157" si="0">G154*C154</f>
        <v>190.62</v>
      </c>
      <c r="I154" s="256" t="s">
        <v>2</v>
      </c>
    </row>
    <row r="155" spans="1:9" s="41" customFormat="1" x14ac:dyDescent="0.2">
      <c r="A155" s="251"/>
      <c r="B155" s="571" t="s">
        <v>496</v>
      </c>
      <c r="C155" s="253">
        <v>1</v>
      </c>
      <c r="D155" s="715">
        <v>667.02</v>
      </c>
      <c r="E155" s="716"/>
      <c r="F155" s="254"/>
      <c r="G155" s="215">
        <f>PRODUCT(D155:E155)</f>
        <v>667.02</v>
      </c>
      <c r="H155" s="255">
        <f t="shared" si="0"/>
        <v>667.02</v>
      </c>
      <c r="I155" s="256" t="s">
        <v>2</v>
      </c>
    </row>
    <row r="156" spans="1:9" s="41" customFormat="1" x14ac:dyDescent="0.2">
      <c r="A156" s="251"/>
      <c r="B156" s="571" t="s">
        <v>497</v>
      </c>
      <c r="C156" s="253">
        <v>1</v>
      </c>
      <c r="D156" s="715">
        <v>294.36</v>
      </c>
      <c r="E156" s="716"/>
      <c r="F156" s="254"/>
      <c r="G156" s="215">
        <f>PRODUCT(D156:E156)</f>
        <v>294.36</v>
      </c>
      <c r="H156" s="255">
        <f t="shared" si="0"/>
        <v>294.36</v>
      </c>
      <c r="I156" s="256" t="s">
        <v>2</v>
      </c>
    </row>
    <row r="157" spans="1:9" s="41" customFormat="1" x14ac:dyDescent="0.2">
      <c r="A157" s="251"/>
      <c r="B157" s="571" t="s">
        <v>498</v>
      </c>
      <c r="C157" s="253">
        <v>1</v>
      </c>
      <c r="D157" s="715">
        <v>1078.05</v>
      </c>
      <c r="E157" s="716"/>
      <c r="F157" s="254"/>
      <c r="G157" s="215">
        <f>PRODUCT(D157:E157)</f>
        <v>1078.05</v>
      </c>
      <c r="H157" s="255">
        <f t="shared" si="0"/>
        <v>1078.05</v>
      </c>
      <c r="I157" s="256" t="s">
        <v>2</v>
      </c>
    </row>
    <row r="158" spans="1:9" s="41" customFormat="1" ht="13.5" thickBot="1" x14ac:dyDescent="0.25">
      <c r="A158" s="296"/>
      <c r="B158" s="282"/>
      <c r="C158" s="285"/>
      <c r="D158" s="285"/>
      <c r="E158" s="285"/>
      <c r="F158" s="285"/>
      <c r="G158" s="297"/>
      <c r="H158" s="298"/>
      <c r="I158" s="287"/>
    </row>
    <row r="159" spans="1:9" s="41" customFormat="1" ht="13.5" thickBot="1" x14ac:dyDescent="0.25">
      <c r="A159" s="299"/>
      <c r="B159" s="300" t="s">
        <v>499</v>
      </c>
      <c r="C159" s="301"/>
      <c r="D159" s="302"/>
      <c r="E159" s="302"/>
      <c r="F159" s="303"/>
      <c r="G159" s="304"/>
      <c r="H159" s="305">
        <f>SUM(H161:H161)</f>
        <v>56.160000000000004</v>
      </c>
      <c r="I159" s="306" t="s">
        <v>2</v>
      </c>
    </row>
    <row r="160" spans="1:9" s="41" customFormat="1" x14ac:dyDescent="0.2">
      <c r="A160" s="307"/>
      <c r="B160" s="308"/>
      <c r="C160" s="309"/>
      <c r="D160" s="310"/>
      <c r="E160" s="310"/>
      <c r="F160" s="311"/>
      <c r="G160" s="312"/>
      <c r="H160" s="313"/>
      <c r="I160" s="314"/>
    </row>
    <row r="161" spans="1:9" s="41" customFormat="1" ht="13.5" thickBot="1" x14ac:dyDescent="0.25">
      <c r="A161" s="251"/>
      <c r="B161" s="571" t="s">
        <v>494</v>
      </c>
      <c r="C161" s="253">
        <v>1</v>
      </c>
      <c r="D161" s="574">
        <v>5.4</v>
      </c>
      <c r="E161" s="315">
        <v>10.4</v>
      </c>
      <c r="F161" s="254"/>
      <c r="G161" s="215">
        <f>PRODUCT(D161:E161)</f>
        <v>56.160000000000004</v>
      </c>
      <c r="H161" s="255">
        <f>G161*C161</f>
        <v>56.160000000000004</v>
      </c>
      <c r="I161" s="256" t="s">
        <v>2</v>
      </c>
    </row>
    <row r="162" spans="1:9" s="12" customFormat="1" ht="12.75" customHeight="1" thickBot="1" x14ac:dyDescent="0.25">
      <c r="A162" s="408" t="s">
        <v>44</v>
      </c>
      <c r="B162" s="705" t="s">
        <v>12</v>
      </c>
      <c r="C162" s="706"/>
      <c r="D162" s="706"/>
      <c r="E162" s="706"/>
      <c r="F162" s="706"/>
      <c r="G162" s="707"/>
      <c r="H162" s="410">
        <f>SUM(H163:H165)</f>
        <v>15115.998499999998</v>
      </c>
      <c r="I162" s="444" t="s">
        <v>2</v>
      </c>
    </row>
    <row r="163" spans="1:9" s="11" customFormat="1" x14ac:dyDescent="0.2">
      <c r="A163" s="316"/>
      <c r="B163" s="317"/>
      <c r="C163" s="213"/>
      <c r="D163" s="214"/>
      <c r="E163" s="214"/>
      <c r="F163" s="254"/>
      <c r="G163" s="259"/>
      <c r="H163" s="209"/>
      <c r="I163" s="210"/>
    </row>
    <row r="164" spans="1:9" s="11" customFormat="1" x14ac:dyDescent="0.2">
      <c r="A164" s="316"/>
      <c r="B164" s="317"/>
      <c r="C164" s="213"/>
      <c r="D164" s="715" t="s">
        <v>11</v>
      </c>
      <c r="E164" s="716"/>
      <c r="F164" s="254"/>
      <c r="G164" s="259"/>
      <c r="H164" s="209"/>
      <c r="I164" s="210"/>
    </row>
    <row r="165" spans="1:9" s="11" customFormat="1" x14ac:dyDescent="0.2">
      <c r="A165" s="316"/>
      <c r="B165" s="533" t="s">
        <v>10</v>
      </c>
      <c r="C165" s="213">
        <v>1</v>
      </c>
      <c r="D165" s="715">
        <f>+H25</f>
        <v>15115.998499999998</v>
      </c>
      <c r="E165" s="716"/>
      <c r="F165" s="254"/>
      <c r="G165" s="215">
        <f>D165</f>
        <v>15115.998499999998</v>
      </c>
      <c r="H165" s="216">
        <f>G165*C165</f>
        <v>15115.998499999998</v>
      </c>
      <c r="I165" s="217" t="s">
        <v>2</v>
      </c>
    </row>
    <row r="166" spans="1:9" s="11" customFormat="1" ht="13.5" thickBot="1" x14ac:dyDescent="0.25">
      <c r="A166" s="316"/>
      <c r="B166" s="231"/>
      <c r="C166" s="213"/>
      <c r="D166" s="254"/>
      <c r="E166" s="254"/>
      <c r="F166" s="254"/>
      <c r="G166" s="259"/>
      <c r="H166" s="216"/>
      <c r="I166" s="217"/>
    </row>
    <row r="167" spans="1:9" s="12" customFormat="1" ht="12.75" customHeight="1" thickBot="1" x14ac:dyDescent="0.25">
      <c r="A167" s="408" t="s">
        <v>45</v>
      </c>
      <c r="B167" s="705" t="s">
        <v>750</v>
      </c>
      <c r="C167" s="706"/>
      <c r="D167" s="706"/>
      <c r="E167" s="706"/>
      <c r="F167" s="706"/>
      <c r="G167" s="707"/>
      <c r="H167" s="410">
        <f>SUM(H169:H169)</f>
        <v>1</v>
      </c>
      <c r="I167" s="444" t="s">
        <v>31</v>
      </c>
    </row>
    <row r="168" spans="1:9" s="11" customFormat="1" ht="11.25" customHeight="1" x14ac:dyDescent="0.2">
      <c r="A168" s="316"/>
      <c r="B168" s="317"/>
      <c r="C168" s="213"/>
      <c r="D168" s="214"/>
      <c r="E168" s="214"/>
      <c r="F168" s="254"/>
      <c r="G168" s="259"/>
      <c r="H168" s="209"/>
      <c r="I168" s="210"/>
    </row>
    <row r="169" spans="1:9" s="11" customFormat="1" ht="11.25" customHeight="1" thickBot="1" x14ac:dyDescent="0.25">
      <c r="A169" s="318"/>
      <c r="B169" s="319"/>
      <c r="C169" s="320">
        <v>1</v>
      </c>
      <c r="D169" s="321"/>
      <c r="E169" s="321"/>
      <c r="F169" s="285"/>
      <c r="G169" s="294">
        <f>C169</f>
        <v>1</v>
      </c>
      <c r="H169" s="322">
        <f>G169</f>
        <v>1</v>
      </c>
      <c r="I169" s="323" t="s">
        <v>7</v>
      </c>
    </row>
    <row r="170" spans="1:9" s="12" customFormat="1" ht="12.75" customHeight="1" thickBot="1" x14ac:dyDescent="0.25">
      <c r="A170" s="408" t="s">
        <v>57</v>
      </c>
      <c r="B170" s="705" t="s">
        <v>751</v>
      </c>
      <c r="C170" s="706"/>
      <c r="D170" s="706"/>
      <c r="E170" s="706"/>
      <c r="F170" s="706"/>
      <c r="G170" s="707"/>
      <c r="H170" s="410">
        <f>SUM(H171:H173)</f>
        <v>25</v>
      </c>
      <c r="I170" s="444" t="s">
        <v>8</v>
      </c>
    </row>
    <row r="171" spans="1:9" s="11" customFormat="1" x14ac:dyDescent="0.2">
      <c r="A171" s="316"/>
      <c r="B171" s="317"/>
      <c r="C171" s="213"/>
      <c r="D171" s="214"/>
      <c r="E171" s="214"/>
      <c r="F171" s="254"/>
      <c r="G171" s="259"/>
      <c r="H171" s="209"/>
      <c r="I171" s="210"/>
    </row>
    <row r="172" spans="1:9" s="11" customFormat="1" x14ac:dyDescent="0.2">
      <c r="A172" s="316"/>
      <c r="B172" s="533" t="s">
        <v>88</v>
      </c>
      <c r="C172" s="213">
        <v>1</v>
      </c>
      <c r="D172" s="545"/>
      <c r="E172" s="545"/>
      <c r="F172" s="254"/>
      <c r="G172" s="215">
        <v>25</v>
      </c>
      <c r="H172" s="216">
        <f>G172*C172</f>
        <v>25</v>
      </c>
      <c r="I172" s="217" t="s">
        <v>27</v>
      </c>
    </row>
    <row r="173" spans="1:9" s="11" customFormat="1" ht="13.5" thickBot="1" x14ac:dyDescent="0.25">
      <c r="A173" s="318"/>
      <c r="B173" s="319"/>
      <c r="C173" s="320"/>
      <c r="D173" s="285"/>
      <c r="E173" s="285"/>
      <c r="F173" s="285"/>
      <c r="G173" s="294"/>
      <c r="H173" s="322"/>
      <c r="I173" s="323"/>
    </row>
    <row r="174" spans="1:9" s="12" customFormat="1" ht="12.75" customHeight="1" thickBot="1" x14ac:dyDescent="0.25">
      <c r="A174" s="324" t="s">
        <v>89</v>
      </c>
      <c r="B174" s="325" t="s">
        <v>411</v>
      </c>
      <c r="C174" s="326"/>
      <c r="D174" s="326"/>
      <c r="E174" s="326"/>
      <c r="F174" s="326"/>
      <c r="G174" s="326"/>
      <c r="H174" s="326"/>
      <c r="I174" s="612"/>
    </row>
    <row r="175" spans="1:9" s="12" customFormat="1" ht="12.75" customHeight="1" thickBot="1" x14ac:dyDescent="0.25">
      <c r="A175" s="316"/>
      <c r="B175" s="252"/>
      <c r="C175" s="327"/>
      <c r="D175" s="327"/>
      <c r="E175" s="327"/>
      <c r="F175" s="327"/>
      <c r="G175" s="328"/>
      <c r="H175" s="328"/>
      <c r="I175" s="329"/>
    </row>
    <row r="176" spans="1:9" s="12" customFormat="1" ht="12.75" customHeight="1" thickBot="1" x14ac:dyDescent="0.25">
      <c r="A176" s="408" t="s">
        <v>412</v>
      </c>
      <c r="B176" s="705" t="s">
        <v>752</v>
      </c>
      <c r="C176" s="706"/>
      <c r="D176" s="706"/>
      <c r="E176" s="706"/>
      <c r="F176" s="706"/>
      <c r="G176" s="707"/>
      <c r="H176" s="410">
        <f>SUM(H177:H178)</f>
        <v>20.015999999999998</v>
      </c>
      <c r="I176" s="444" t="s">
        <v>2</v>
      </c>
    </row>
    <row r="177" spans="1:9" s="12" customFormat="1" ht="12.75" customHeight="1" x14ac:dyDescent="0.2">
      <c r="A177" s="316"/>
      <c r="B177" s="571" t="s">
        <v>413</v>
      </c>
      <c r="C177" s="327"/>
      <c r="D177" s="327"/>
      <c r="E177" s="327"/>
      <c r="F177" s="327"/>
      <c r="G177" s="328"/>
      <c r="H177" s="328"/>
      <c r="I177" s="329"/>
    </row>
    <row r="178" spans="1:9" s="12" customFormat="1" ht="12.75" customHeight="1" x14ac:dyDescent="0.2">
      <c r="A178" s="316"/>
      <c r="B178" s="252"/>
      <c r="C178" s="327">
        <v>1</v>
      </c>
      <c r="D178" s="327">
        <v>5.56</v>
      </c>
      <c r="E178" s="327">
        <v>3.6</v>
      </c>
      <c r="F178" s="327"/>
      <c r="G178" s="328">
        <f>D178*E178</f>
        <v>20.015999999999998</v>
      </c>
      <c r="H178" s="328">
        <f>G178*C178</f>
        <v>20.015999999999998</v>
      </c>
      <c r="I178" s="329" t="s">
        <v>2</v>
      </c>
    </row>
    <row r="179" spans="1:9" s="12" customFormat="1" ht="12.75" customHeight="1" thickBot="1" x14ac:dyDescent="0.25">
      <c r="A179" s="316"/>
      <c r="B179" s="252"/>
      <c r="C179" s="327"/>
      <c r="D179" s="327"/>
      <c r="E179" s="327"/>
      <c r="F179" s="327"/>
      <c r="G179" s="328"/>
      <c r="H179" s="328"/>
      <c r="I179" s="329"/>
    </row>
    <row r="180" spans="1:9" s="12" customFormat="1" ht="12.75" customHeight="1" thickBot="1" x14ac:dyDescent="0.25">
      <c r="A180" s="408" t="s">
        <v>419</v>
      </c>
      <c r="B180" s="705" t="s">
        <v>400</v>
      </c>
      <c r="C180" s="706"/>
      <c r="D180" s="706"/>
      <c r="E180" s="706"/>
      <c r="F180" s="706"/>
      <c r="G180" s="707"/>
      <c r="H180" s="410">
        <f>SUM(H181:H182)</f>
        <v>23.84</v>
      </c>
      <c r="I180" s="444" t="s">
        <v>2</v>
      </c>
    </row>
    <row r="181" spans="1:9" s="11" customFormat="1" x14ac:dyDescent="0.2">
      <c r="A181" s="316"/>
      <c r="B181" s="571" t="s">
        <v>413</v>
      </c>
      <c r="C181" s="327"/>
      <c r="D181" s="327"/>
      <c r="E181" s="327"/>
      <c r="F181" s="327"/>
      <c r="G181" s="328"/>
      <c r="H181" s="328"/>
      <c r="I181" s="329"/>
    </row>
    <row r="182" spans="1:9" s="11" customFormat="1" x14ac:dyDescent="0.2">
      <c r="A182" s="316"/>
      <c r="B182" s="252"/>
      <c r="C182" s="327">
        <v>1</v>
      </c>
      <c r="D182" s="327">
        <v>5.96</v>
      </c>
      <c r="E182" s="327">
        <v>4</v>
      </c>
      <c r="F182" s="327"/>
      <c r="G182" s="328">
        <f>D182*E182</f>
        <v>23.84</v>
      </c>
      <c r="H182" s="328">
        <f>G182*C182</f>
        <v>23.84</v>
      </c>
      <c r="I182" s="329" t="s">
        <v>2</v>
      </c>
    </row>
    <row r="183" spans="1:9" s="11" customFormat="1" ht="13.5" thickBot="1" x14ac:dyDescent="0.25">
      <c r="A183" s="316"/>
      <c r="B183" s="252"/>
      <c r="C183" s="327"/>
      <c r="D183" s="327"/>
      <c r="E183" s="327"/>
      <c r="F183" s="327"/>
      <c r="G183" s="328"/>
      <c r="H183" s="328"/>
      <c r="I183" s="329"/>
    </row>
    <row r="184" spans="1:9" s="12" customFormat="1" ht="12.75" customHeight="1" thickBot="1" x14ac:dyDescent="0.25">
      <c r="A184" s="408" t="s">
        <v>420</v>
      </c>
      <c r="B184" s="705" t="s">
        <v>438</v>
      </c>
      <c r="C184" s="706"/>
      <c r="D184" s="706"/>
      <c r="E184" s="706"/>
      <c r="F184" s="706"/>
      <c r="G184" s="707"/>
      <c r="H184" s="410">
        <f>SUM(H185:H187)</f>
        <v>15.2</v>
      </c>
      <c r="I184" s="444" t="s">
        <v>9</v>
      </c>
    </row>
    <row r="185" spans="1:9" s="11" customFormat="1" x14ac:dyDescent="0.2">
      <c r="A185" s="316"/>
      <c r="B185" s="252"/>
      <c r="C185" s="327"/>
      <c r="D185" s="327"/>
      <c r="E185" s="327"/>
      <c r="F185" s="327"/>
      <c r="G185" s="328"/>
      <c r="H185" s="328"/>
      <c r="I185" s="329"/>
    </row>
    <row r="186" spans="1:9" s="11" customFormat="1" x14ac:dyDescent="0.2">
      <c r="A186" s="316"/>
      <c r="B186" s="571" t="s">
        <v>413</v>
      </c>
      <c r="C186" s="327">
        <v>2</v>
      </c>
      <c r="D186" s="327"/>
      <c r="E186" s="327"/>
      <c r="F186" s="327"/>
      <c r="G186" s="328">
        <v>4</v>
      </c>
      <c r="H186" s="328">
        <f>G186*C186</f>
        <v>8</v>
      </c>
      <c r="I186" s="329" t="s">
        <v>9</v>
      </c>
    </row>
    <row r="187" spans="1:9" s="11" customFormat="1" x14ac:dyDescent="0.2">
      <c r="A187" s="316"/>
      <c r="B187" s="252"/>
      <c r="C187" s="327">
        <v>2</v>
      </c>
      <c r="D187" s="327"/>
      <c r="E187" s="327"/>
      <c r="F187" s="327"/>
      <c r="G187" s="328">
        <v>3.6</v>
      </c>
      <c r="H187" s="328">
        <f>G187*C187</f>
        <v>7.2</v>
      </c>
      <c r="I187" s="329" t="s">
        <v>9</v>
      </c>
    </row>
    <row r="188" spans="1:9" s="11" customFormat="1" ht="13.5" thickBot="1" x14ac:dyDescent="0.25">
      <c r="A188" s="316"/>
      <c r="B188" s="252"/>
      <c r="C188" s="327"/>
      <c r="D188" s="327"/>
      <c r="E188" s="327"/>
      <c r="F188" s="327"/>
      <c r="G188" s="328"/>
      <c r="H188" s="328"/>
      <c r="I188" s="329"/>
    </row>
    <row r="189" spans="1:9" s="12" customFormat="1" ht="12.75" customHeight="1" thickBot="1" x14ac:dyDescent="0.25">
      <c r="A189" s="408" t="s">
        <v>421</v>
      </c>
      <c r="B189" s="705" t="s">
        <v>753</v>
      </c>
      <c r="C189" s="706"/>
      <c r="D189" s="706"/>
      <c r="E189" s="706"/>
      <c r="F189" s="706"/>
      <c r="G189" s="707"/>
      <c r="H189" s="410">
        <f>SUM(H190:H192)</f>
        <v>166.65</v>
      </c>
      <c r="I189" s="444" t="s">
        <v>9</v>
      </c>
    </row>
    <row r="190" spans="1:9" s="11" customFormat="1" x14ac:dyDescent="0.2">
      <c r="A190" s="316"/>
      <c r="B190" s="571" t="s">
        <v>413</v>
      </c>
      <c r="C190" s="327"/>
      <c r="D190" s="327"/>
      <c r="E190" s="327"/>
      <c r="F190" s="327"/>
      <c r="G190" s="328"/>
      <c r="H190" s="328"/>
      <c r="I190" s="329"/>
    </row>
    <row r="191" spans="1:9" s="11" customFormat="1" x14ac:dyDescent="0.2">
      <c r="A191" s="316"/>
      <c r="B191" s="571" t="s">
        <v>414</v>
      </c>
      <c r="C191" s="327">
        <v>7</v>
      </c>
      <c r="D191" s="327"/>
      <c r="E191" s="327"/>
      <c r="F191" s="327">
        <v>2.85</v>
      </c>
      <c r="G191" s="328">
        <f>F191*C191</f>
        <v>19.95</v>
      </c>
      <c r="H191" s="328">
        <f>G191*C191</f>
        <v>139.65</v>
      </c>
      <c r="I191" s="329" t="s">
        <v>9</v>
      </c>
    </row>
    <row r="192" spans="1:9" s="11" customFormat="1" x14ac:dyDescent="0.2">
      <c r="A192" s="316"/>
      <c r="B192" s="571" t="s">
        <v>415</v>
      </c>
      <c r="C192" s="327">
        <v>3</v>
      </c>
      <c r="D192" s="327"/>
      <c r="E192" s="327"/>
      <c r="F192" s="327">
        <v>3</v>
      </c>
      <c r="G192" s="328">
        <f>F192*C192</f>
        <v>9</v>
      </c>
      <c r="H192" s="328">
        <f>G192*C192</f>
        <v>27</v>
      </c>
      <c r="I192" s="329" t="s">
        <v>9</v>
      </c>
    </row>
    <row r="193" spans="1:9" s="11" customFormat="1" ht="13.5" thickBot="1" x14ac:dyDescent="0.25">
      <c r="A193" s="316"/>
      <c r="B193" s="252"/>
      <c r="C193" s="327"/>
      <c r="D193" s="327"/>
      <c r="E193" s="327"/>
      <c r="F193" s="327"/>
      <c r="G193" s="328"/>
      <c r="H193" s="328"/>
      <c r="I193" s="329"/>
    </row>
    <row r="194" spans="1:9" s="12" customFormat="1" ht="12.75" customHeight="1" thickBot="1" x14ac:dyDescent="0.25">
      <c r="A194" s="408" t="s">
        <v>422</v>
      </c>
      <c r="B194" s="705" t="s">
        <v>754</v>
      </c>
      <c r="C194" s="706"/>
      <c r="D194" s="706"/>
      <c r="E194" s="706"/>
      <c r="F194" s="706"/>
      <c r="G194" s="707"/>
      <c r="H194" s="410">
        <f>SUM(H195:H203)</f>
        <v>80.467999999999989</v>
      </c>
      <c r="I194" s="444" t="s">
        <v>2</v>
      </c>
    </row>
    <row r="195" spans="1:9" s="11" customFormat="1" x14ac:dyDescent="0.2">
      <c r="A195" s="316"/>
      <c r="B195" s="571" t="s">
        <v>413</v>
      </c>
      <c r="C195" s="327"/>
      <c r="D195" s="327"/>
      <c r="E195" s="327"/>
      <c r="F195" s="327"/>
      <c r="G195" s="328"/>
      <c r="H195" s="328"/>
      <c r="I195" s="329"/>
    </row>
    <row r="196" spans="1:9" s="11" customFormat="1" x14ac:dyDescent="0.2">
      <c r="A196" s="316"/>
      <c r="B196" s="571" t="s">
        <v>414</v>
      </c>
      <c r="C196" s="327">
        <v>2</v>
      </c>
      <c r="D196" s="327">
        <v>0.9</v>
      </c>
      <c r="E196" s="327"/>
      <c r="F196" s="327">
        <v>2.85</v>
      </c>
      <c r="G196" s="328">
        <f>F196*D196</f>
        <v>2.5649999999999999</v>
      </c>
      <c r="H196" s="328">
        <f t="shared" ref="H196:H203" si="1">G196*C196</f>
        <v>5.13</v>
      </c>
      <c r="I196" s="329" t="s">
        <v>2</v>
      </c>
    </row>
    <row r="197" spans="1:9" s="11" customFormat="1" x14ac:dyDescent="0.2">
      <c r="A197" s="316"/>
      <c r="B197" s="571"/>
      <c r="C197" s="327">
        <v>1</v>
      </c>
      <c r="D197" s="327">
        <v>4</v>
      </c>
      <c r="E197" s="327"/>
      <c r="F197" s="327">
        <v>2.85</v>
      </c>
      <c r="G197" s="328">
        <f>F197*D197</f>
        <v>11.4</v>
      </c>
      <c r="H197" s="328">
        <f t="shared" si="1"/>
        <v>11.4</v>
      </c>
      <c r="I197" s="329" t="s">
        <v>2</v>
      </c>
    </row>
    <row r="198" spans="1:9" s="11" customFormat="1" x14ac:dyDescent="0.2">
      <c r="A198" s="316"/>
      <c r="B198" s="571" t="s">
        <v>418</v>
      </c>
      <c r="C198" s="327">
        <v>1</v>
      </c>
      <c r="D198" s="327"/>
      <c r="E198" s="327"/>
      <c r="F198" s="327"/>
      <c r="G198" s="328">
        <v>8.33</v>
      </c>
      <c r="H198" s="328">
        <f t="shared" si="1"/>
        <v>8.33</v>
      </c>
      <c r="I198" s="329" t="s">
        <v>2</v>
      </c>
    </row>
    <row r="199" spans="1:9" s="11" customFormat="1" x14ac:dyDescent="0.2">
      <c r="A199" s="316"/>
      <c r="B199" s="571"/>
      <c r="C199" s="327">
        <v>2</v>
      </c>
      <c r="D199" s="327">
        <v>2.86</v>
      </c>
      <c r="E199" s="327"/>
      <c r="F199" s="327">
        <v>2.4</v>
      </c>
      <c r="G199" s="328">
        <f>F199*D199</f>
        <v>6.8639999999999999</v>
      </c>
      <c r="H199" s="328">
        <f t="shared" si="1"/>
        <v>13.728</v>
      </c>
      <c r="I199" s="329" t="s">
        <v>2</v>
      </c>
    </row>
    <row r="200" spans="1:9" s="11" customFormat="1" x14ac:dyDescent="0.2">
      <c r="A200" s="316"/>
      <c r="B200" s="571"/>
      <c r="C200" s="327">
        <v>4</v>
      </c>
      <c r="D200" s="327">
        <v>1.3</v>
      </c>
      <c r="E200" s="327"/>
      <c r="F200" s="327">
        <v>2.4</v>
      </c>
      <c r="G200" s="328">
        <f>F200*D200</f>
        <v>3.12</v>
      </c>
      <c r="H200" s="328">
        <f t="shared" si="1"/>
        <v>12.48</v>
      </c>
      <c r="I200" s="329" t="s">
        <v>2</v>
      </c>
    </row>
    <row r="201" spans="1:9" s="11" customFormat="1" x14ac:dyDescent="0.2">
      <c r="A201" s="316"/>
      <c r="B201" s="571" t="s">
        <v>415</v>
      </c>
      <c r="C201" s="327">
        <v>1</v>
      </c>
      <c r="D201" s="327">
        <v>5.96</v>
      </c>
      <c r="E201" s="327"/>
      <c r="F201" s="327">
        <v>3</v>
      </c>
      <c r="G201" s="328">
        <f>F201*D201</f>
        <v>17.88</v>
      </c>
      <c r="H201" s="328">
        <f t="shared" si="1"/>
        <v>17.88</v>
      </c>
      <c r="I201" s="329" t="s">
        <v>2</v>
      </c>
    </row>
    <row r="202" spans="1:9" s="11" customFormat="1" x14ac:dyDescent="0.2">
      <c r="A202" s="316"/>
      <c r="B202" s="571" t="s">
        <v>416</v>
      </c>
      <c r="C202" s="327">
        <v>2</v>
      </c>
      <c r="D202" s="327"/>
      <c r="E202" s="327"/>
      <c r="F202" s="327"/>
      <c r="G202" s="328">
        <v>11.6</v>
      </c>
      <c r="H202" s="328">
        <f t="shared" si="1"/>
        <v>23.2</v>
      </c>
      <c r="I202" s="329" t="s">
        <v>2</v>
      </c>
    </row>
    <row r="203" spans="1:9" s="11" customFormat="1" x14ac:dyDescent="0.2">
      <c r="A203" s="316"/>
      <c r="B203" s="571" t="s">
        <v>417</v>
      </c>
      <c r="C203" s="327">
        <v>-1</v>
      </c>
      <c r="D203" s="327"/>
      <c r="E203" s="327"/>
      <c r="F203" s="327"/>
      <c r="G203" s="328">
        <f>1.25+1.25+1.89+1.89+5.4</f>
        <v>11.68</v>
      </c>
      <c r="H203" s="328">
        <f t="shared" si="1"/>
        <v>-11.68</v>
      </c>
      <c r="I203" s="329" t="s">
        <v>2</v>
      </c>
    </row>
    <row r="204" spans="1:9" s="11" customFormat="1" ht="13.5" thickBot="1" x14ac:dyDescent="0.25">
      <c r="A204" s="316"/>
      <c r="B204" s="252"/>
      <c r="C204" s="327"/>
      <c r="D204" s="327"/>
      <c r="E204" s="327"/>
      <c r="F204" s="327"/>
      <c r="G204" s="328"/>
      <c r="H204" s="328"/>
      <c r="I204" s="329"/>
    </row>
    <row r="205" spans="1:9" s="12" customFormat="1" ht="12.75" customHeight="1" thickBot="1" x14ac:dyDescent="0.25">
      <c r="A205" s="408" t="s">
        <v>423</v>
      </c>
      <c r="B205" s="705" t="s">
        <v>755</v>
      </c>
      <c r="C205" s="706"/>
      <c r="D205" s="706"/>
      <c r="E205" s="706"/>
      <c r="F205" s="706"/>
      <c r="G205" s="707"/>
      <c r="H205" s="410">
        <f>SUM(H206:H208)</f>
        <v>29.88</v>
      </c>
      <c r="I205" s="444" t="s">
        <v>9</v>
      </c>
    </row>
    <row r="206" spans="1:9" s="11" customFormat="1" x14ac:dyDescent="0.2">
      <c r="A206" s="316"/>
      <c r="B206" s="571" t="s">
        <v>413</v>
      </c>
      <c r="C206" s="327"/>
      <c r="D206" s="327"/>
      <c r="E206" s="327"/>
      <c r="F206" s="327"/>
      <c r="G206" s="328"/>
      <c r="H206" s="328"/>
      <c r="I206" s="329"/>
    </row>
    <row r="207" spans="1:9" s="11" customFormat="1" x14ac:dyDescent="0.2">
      <c r="A207" s="316"/>
      <c r="B207" s="571" t="s">
        <v>424</v>
      </c>
      <c r="C207" s="327">
        <v>3</v>
      </c>
      <c r="D207" s="327"/>
      <c r="E207" s="327"/>
      <c r="F207" s="327"/>
      <c r="G207" s="328">
        <v>5.96</v>
      </c>
      <c r="H207" s="328">
        <f>G207*C207</f>
        <v>17.88</v>
      </c>
      <c r="I207" s="329" t="s">
        <v>9</v>
      </c>
    </row>
    <row r="208" spans="1:9" s="11" customFormat="1" x14ac:dyDescent="0.2">
      <c r="A208" s="316"/>
      <c r="B208" s="571" t="s">
        <v>426</v>
      </c>
      <c r="C208" s="327">
        <v>3</v>
      </c>
      <c r="D208" s="327"/>
      <c r="E208" s="327"/>
      <c r="F208" s="327"/>
      <c r="G208" s="328">
        <v>4</v>
      </c>
      <c r="H208" s="328">
        <f>G208*C208</f>
        <v>12</v>
      </c>
      <c r="I208" s="329" t="s">
        <v>9</v>
      </c>
    </row>
    <row r="209" spans="1:9" s="11" customFormat="1" ht="13.5" thickBot="1" x14ac:dyDescent="0.25">
      <c r="A209" s="316"/>
      <c r="B209" s="252"/>
      <c r="C209" s="327"/>
      <c r="D209" s="327"/>
      <c r="E209" s="327"/>
      <c r="F209" s="327"/>
      <c r="G209" s="328"/>
      <c r="H209" s="328"/>
      <c r="I209" s="329"/>
    </row>
    <row r="210" spans="1:9" s="12" customFormat="1" ht="12.75" customHeight="1" thickBot="1" x14ac:dyDescent="0.25">
      <c r="A210" s="408" t="s">
        <v>425</v>
      </c>
      <c r="B210" s="705" t="s">
        <v>398</v>
      </c>
      <c r="C210" s="706"/>
      <c r="D210" s="706"/>
      <c r="E210" s="706"/>
      <c r="F210" s="706"/>
      <c r="G210" s="707"/>
      <c r="H210" s="410">
        <f>SUM(H211:H212)</f>
        <v>35.2196</v>
      </c>
      <c r="I210" s="444" t="s">
        <v>2</v>
      </c>
    </row>
    <row r="211" spans="1:9" s="11" customFormat="1" x14ac:dyDescent="0.2">
      <c r="A211" s="316"/>
      <c r="B211" s="571" t="s">
        <v>413</v>
      </c>
      <c r="C211" s="327"/>
      <c r="D211" s="327"/>
      <c r="E211" s="327"/>
      <c r="F211" s="327"/>
      <c r="G211" s="328"/>
      <c r="H211" s="328"/>
      <c r="I211" s="329"/>
    </row>
    <row r="212" spans="1:9" s="11" customFormat="1" x14ac:dyDescent="0.2">
      <c r="A212" s="316"/>
      <c r="B212" s="571" t="s">
        <v>428</v>
      </c>
      <c r="C212" s="327">
        <v>1</v>
      </c>
      <c r="D212" s="327">
        <v>5.21</v>
      </c>
      <c r="E212" s="327">
        <v>6.76</v>
      </c>
      <c r="F212" s="327"/>
      <c r="G212" s="328">
        <f>D212*E212</f>
        <v>35.2196</v>
      </c>
      <c r="H212" s="328">
        <f>G212*C212</f>
        <v>35.2196</v>
      </c>
      <c r="I212" s="329" t="s">
        <v>2</v>
      </c>
    </row>
    <row r="213" spans="1:9" s="11" customFormat="1" ht="14.25" customHeight="1" thickBot="1" x14ac:dyDescent="0.25">
      <c r="A213" s="316"/>
      <c r="B213" s="252"/>
      <c r="C213" s="327"/>
      <c r="D213" s="327"/>
      <c r="E213" s="327"/>
      <c r="F213" s="327"/>
      <c r="G213" s="328"/>
      <c r="H213" s="328"/>
      <c r="I213" s="329"/>
    </row>
    <row r="214" spans="1:9" s="12" customFormat="1" ht="12.75" customHeight="1" thickBot="1" x14ac:dyDescent="0.25">
      <c r="A214" s="408" t="s">
        <v>427</v>
      </c>
      <c r="B214" s="705" t="s">
        <v>758</v>
      </c>
      <c r="C214" s="706"/>
      <c r="D214" s="706"/>
      <c r="E214" s="706"/>
      <c r="F214" s="706"/>
      <c r="G214" s="707"/>
      <c r="H214" s="410">
        <f>SUM(H215:H217)</f>
        <v>2</v>
      </c>
      <c r="I214" s="444" t="s">
        <v>8</v>
      </c>
    </row>
    <row r="215" spans="1:9" s="11" customFormat="1" x14ac:dyDescent="0.2">
      <c r="A215" s="316"/>
      <c r="B215" s="571" t="s">
        <v>413</v>
      </c>
      <c r="C215" s="327"/>
      <c r="D215" s="327"/>
      <c r="E215" s="327"/>
      <c r="F215" s="327"/>
      <c r="G215" s="328"/>
      <c r="H215" s="328"/>
      <c r="I215" s="329"/>
    </row>
    <row r="216" spans="1:9" s="11" customFormat="1" x14ac:dyDescent="0.2">
      <c r="A216" s="316"/>
      <c r="B216" s="571" t="s">
        <v>429</v>
      </c>
      <c r="C216" s="327">
        <v>2</v>
      </c>
      <c r="D216" s="327"/>
      <c r="E216" s="327"/>
      <c r="F216" s="327"/>
      <c r="G216" s="328">
        <v>1</v>
      </c>
      <c r="H216" s="328">
        <f>G216*C216</f>
        <v>2</v>
      </c>
      <c r="I216" s="329" t="s">
        <v>8</v>
      </c>
    </row>
    <row r="217" spans="1:9" s="11" customFormat="1" ht="13.5" thickBot="1" x14ac:dyDescent="0.25">
      <c r="A217" s="316"/>
      <c r="B217" s="252"/>
      <c r="C217" s="327"/>
      <c r="D217" s="327"/>
      <c r="E217" s="327"/>
      <c r="F217" s="327"/>
      <c r="G217" s="328"/>
      <c r="H217" s="328"/>
      <c r="I217" s="329"/>
    </row>
    <row r="218" spans="1:9" s="12" customFormat="1" ht="12.75" customHeight="1" thickBot="1" x14ac:dyDescent="0.25">
      <c r="A218" s="408" t="s">
        <v>430</v>
      </c>
      <c r="B218" s="705" t="s">
        <v>761</v>
      </c>
      <c r="C218" s="706"/>
      <c r="D218" s="706"/>
      <c r="E218" s="706"/>
      <c r="F218" s="706"/>
      <c r="G218" s="707"/>
      <c r="H218" s="410">
        <f>SUM(H219:H221)</f>
        <v>6</v>
      </c>
      <c r="I218" s="444" t="s">
        <v>8</v>
      </c>
    </row>
    <row r="219" spans="1:9" s="11" customFormat="1" x14ac:dyDescent="0.2">
      <c r="A219" s="316"/>
      <c r="B219" s="571" t="s">
        <v>413</v>
      </c>
      <c r="C219" s="327"/>
      <c r="D219" s="327"/>
      <c r="E219" s="327"/>
      <c r="F219" s="327"/>
      <c r="G219" s="328"/>
      <c r="H219" s="328"/>
      <c r="I219" s="329"/>
    </row>
    <row r="220" spans="1:9" s="11" customFormat="1" x14ac:dyDescent="0.2">
      <c r="A220" s="316"/>
      <c r="B220" s="571" t="s">
        <v>431</v>
      </c>
      <c r="C220" s="327">
        <v>1</v>
      </c>
      <c r="D220" s="327"/>
      <c r="E220" s="327"/>
      <c r="F220" s="327"/>
      <c r="G220" s="328">
        <v>3</v>
      </c>
      <c r="H220" s="328">
        <f>G220*C220</f>
        <v>3</v>
      </c>
      <c r="I220" s="329" t="s">
        <v>8</v>
      </c>
    </row>
    <row r="221" spans="1:9" s="11" customFormat="1" x14ac:dyDescent="0.2">
      <c r="A221" s="316"/>
      <c r="B221" s="252"/>
      <c r="C221" s="327">
        <v>1</v>
      </c>
      <c r="D221" s="327"/>
      <c r="E221" s="327"/>
      <c r="F221" s="327"/>
      <c r="G221" s="328">
        <v>3</v>
      </c>
      <c r="H221" s="328">
        <f>G221*C221</f>
        <v>3</v>
      </c>
      <c r="I221" s="329" t="s">
        <v>8</v>
      </c>
    </row>
    <row r="222" spans="1:9" s="11" customFormat="1" ht="13.5" thickBot="1" x14ac:dyDescent="0.25">
      <c r="A222" s="316"/>
      <c r="B222" s="252"/>
      <c r="C222" s="327"/>
      <c r="D222" s="327"/>
      <c r="E222" s="327"/>
      <c r="F222" s="327"/>
      <c r="G222" s="328"/>
      <c r="H222" s="328"/>
      <c r="I222" s="329"/>
    </row>
    <row r="223" spans="1:9" s="12" customFormat="1" ht="12.75" customHeight="1" thickBot="1" x14ac:dyDescent="0.25">
      <c r="A223" s="408" t="s">
        <v>432</v>
      </c>
      <c r="B223" s="705" t="s">
        <v>772</v>
      </c>
      <c r="C223" s="706"/>
      <c r="D223" s="706"/>
      <c r="E223" s="706"/>
      <c r="F223" s="706"/>
      <c r="G223" s="707"/>
      <c r="H223" s="410">
        <f>SUM(H224:H225)</f>
        <v>2</v>
      </c>
      <c r="I223" s="444" t="s">
        <v>8</v>
      </c>
    </row>
    <row r="224" spans="1:9" s="11" customFormat="1" x14ac:dyDescent="0.2">
      <c r="A224" s="316"/>
      <c r="B224" s="571" t="s">
        <v>413</v>
      </c>
      <c r="C224" s="327"/>
      <c r="D224" s="327"/>
      <c r="E224" s="327"/>
      <c r="F224" s="327"/>
      <c r="G224" s="328"/>
      <c r="H224" s="328"/>
      <c r="I224" s="329"/>
    </row>
    <row r="225" spans="1:9" s="11" customFormat="1" x14ac:dyDescent="0.2">
      <c r="A225" s="316"/>
      <c r="B225" s="571" t="s">
        <v>433</v>
      </c>
      <c r="C225" s="327">
        <v>1</v>
      </c>
      <c r="D225" s="327"/>
      <c r="E225" s="327"/>
      <c r="F225" s="327"/>
      <c r="G225" s="328">
        <v>2</v>
      </c>
      <c r="H225" s="328">
        <f>G225*C225</f>
        <v>2</v>
      </c>
      <c r="I225" s="329" t="s">
        <v>8</v>
      </c>
    </row>
    <row r="226" spans="1:9" s="11" customFormat="1" ht="13.5" thickBot="1" x14ac:dyDescent="0.25">
      <c r="A226" s="316"/>
      <c r="B226" s="252"/>
      <c r="C226" s="327"/>
      <c r="D226" s="327"/>
      <c r="E226" s="327"/>
      <c r="F226" s="327"/>
      <c r="G226" s="328"/>
      <c r="H226" s="328"/>
      <c r="I226" s="329"/>
    </row>
    <row r="227" spans="1:9" s="12" customFormat="1" ht="12.75" customHeight="1" thickBot="1" x14ac:dyDescent="0.25">
      <c r="A227" s="408" t="s">
        <v>434</v>
      </c>
      <c r="B227" s="705" t="s">
        <v>558</v>
      </c>
      <c r="C227" s="706"/>
      <c r="D227" s="706"/>
      <c r="E227" s="706"/>
      <c r="F227" s="706"/>
      <c r="G227" s="707"/>
      <c r="H227" s="410">
        <f>SUM(H228:H231)</f>
        <v>7.22</v>
      </c>
      <c r="I227" s="444" t="s">
        <v>9</v>
      </c>
    </row>
    <row r="228" spans="1:9" s="11" customFormat="1" x14ac:dyDescent="0.2">
      <c r="A228" s="330"/>
      <c r="B228" s="576" t="s">
        <v>413</v>
      </c>
      <c r="C228" s="332"/>
      <c r="D228" s="332"/>
      <c r="E228" s="332"/>
      <c r="F228" s="332"/>
      <c r="G228" s="333"/>
      <c r="H228" s="333"/>
      <c r="I228" s="334"/>
    </row>
    <row r="229" spans="1:9" s="11" customFormat="1" x14ac:dyDescent="0.2">
      <c r="A229" s="330"/>
      <c r="B229" s="576" t="s">
        <v>435</v>
      </c>
      <c r="C229" s="332">
        <v>1</v>
      </c>
      <c r="D229" s="332">
        <v>4.5199999999999996</v>
      </c>
      <c r="E229" s="332"/>
      <c r="F229" s="332"/>
      <c r="G229" s="333">
        <f>D229</f>
        <v>4.5199999999999996</v>
      </c>
      <c r="H229" s="333">
        <f>G229*C229</f>
        <v>4.5199999999999996</v>
      </c>
      <c r="I229" s="334" t="s">
        <v>9</v>
      </c>
    </row>
    <row r="230" spans="1:9" s="11" customFormat="1" x14ac:dyDescent="0.2">
      <c r="A230" s="330"/>
      <c r="B230" s="576" t="s">
        <v>436</v>
      </c>
      <c r="C230" s="332">
        <v>3</v>
      </c>
      <c r="D230" s="332">
        <v>0.9</v>
      </c>
      <c r="E230" s="332"/>
      <c r="F230" s="332"/>
      <c r="G230" s="333">
        <f>D230</f>
        <v>0.9</v>
      </c>
      <c r="H230" s="333">
        <f>G230*C230</f>
        <v>2.7</v>
      </c>
      <c r="I230" s="334" t="s">
        <v>9</v>
      </c>
    </row>
    <row r="231" spans="1:9" s="11" customFormat="1" ht="13.5" thickBot="1" x14ac:dyDescent="0.25">
      <c r="A231" s="330"/>
      <c r="B231" s="576"/>
      <c r="C231" s="332"/>
      <c r="D231" s="332"/>
      <c r="E231" s="332"/>
      <c r="F231" s="332"/>
      <c r="G231" s="333"/>
      <c r="H231" s="333"/>
      <c r="I231" s="334"/>
    </row>
    <row r="232" spans="1:9" s="12" customFormat="1" ht="12.75" customHeight="1" thickBot="1" x14ac:dyDescent="0.25">
      <c r="A232" s="408" t="s">
        <v>437</v>
      </c>
      <c r="B232" s="705" t="s">
        <v>559</v>
      </c>
      <c r="C232" s="706"/>
      <c r="D232" s="706"/>
      <c r="E232" s="706"/>
      <c r="F232" s="706"/>
      <c r="G232" s="707"/>
      <c r="H232" s="410">
        <f>SUM(H233:H241)</f>
        <v>5.8360000000000003</v>
      </c>
      <c r="I232" s="444" t="s">
        <v>2</v>
      </c>
    </row>
    <row r="233" spans="1:9" s="11" customFormat="1" x14ac:dyDescent="0.2">
      <c r="A233" s="330"/>
      <c r="B233" s="331"/>
      <c r="C233" s="332"/>
      <c r="D233" s="332"/>
      <c r="E233" s="332"/>
      <c r="F233" s="332"/>
      <c r="G233" s="333"/>
      <c r="H233" s="333"/>
      <c r="I233" s="334"/>
    </row>
    <row r="234" spans="1:9" s="11" customFormat="1" x14ac:dyDescent="0.2">
      <c r="A234" s="330"/>
      <c r="B234" s="575" t="s">
        <v>413</v>
      </c>
      <c r="C234" s="332"/>
      <c r="D234" s="332"/>
      <c r="E234" s="332"/>
      <c r="F234" s="332"/>
      <c r="G234" s="333"/>
      <c r="H234" s="333"/>
      <c r="I234" s="334"/>
    </row>
    <row r="235" spans="1:9" s="11" customFormat="1" x14ac:dyDescent="0.2">
      <c r="A235" s="330"/>
      <c r="B235" s="575" t="s">
        <v>435</v>
      </c>
      <c r="C235" s="332">
        <v>2</v>
      </c>
      <c r="D235" s="332">
        <v>3.92</v>
      </c>
      <c r="E235" s="332"/>
      <c r="F235" s="332">
        <v>0.3</v>
      </c>
      <c r="G235" s="333">
        <f>PRODUCT(D235:F235)</f>
        <v>1.1759999999999999</v>
      </c>
      <c r="H235" s="333">
        <f>G235*C235</f>
        <v>2.3519999999999999</v>
      </c>
      <c r="I235" s="334" t="s">
        <v>2</v>
      </c>
    </row>
    <row r="236" spans="1:9" s="11" customFormat="1" x14ac:dyDescent="0.2">
      <c r="A236" s="330"/>
      <c r="B236" s="575"/>
      <c r="C236" s="332">
        <v>2</v>
      </c>
      <c r="D236" s="332">
        <v>1.96</v>
      </c>
      <c r="E236" s="332">
        <v>0.2</v>
      </c>
      <c r="F236" s="332"/>
      <c r="G236" s="333">
        <f t="shared" ref="G236:G240" si="2">PRODUCT(D236:F236)</f>
        <v>0.39200000000000002</v>
      </c>
      <c r="H236" s="333">
        <f t="shared" ref="H236:H240" si="3">G236*C236</f>
        <v>0.78400000000000003</v>
      </c>
      <c r="I236" s="334" t="s">
        <v>2</v>
      </c>
    </row>
    <row r="237" spans="1:9" s="11" customFormat="1" x14ac:dyDescent="0.2">
      <c r="A237" s="330"/>
      <c r="B237" s="575"/>
      <c r="C237" s="332">
        <v>2</v>
      </c>
      <c r="D237" s="332">
        <v>0.6</v>
      </c>
      <c r="E237" s="332"/>
      <c r="F237" s="332">
        <v>0.3</v>
      </c>
      <c r="G237" s="333">
        <f t="shared" si="2"/>
        <v>0.18</v>
      </c>
      <c r="H237" s="333">
        <f t="shared" si="3"/>
        <v>0.36</v>
      </c>
      <c r="I237" s="334" t="s">
        <v>2</v>
      </c>
    </row>
    <row r="238" spans="1:9" s="11" customFormat="1" x14ac:dyDescent="0.2">
      <c r="A238" s="330"/>
      <c r="B238" s="575"/>
      <c r="C238" s="332">
        <v>2</v>
      </c>
      <c r="D238" s="332">
        <v>0.3</v>
      </c>
      <c r="E238" s="332">
        <v>0.3</v>
      </c>
      <c r="F238" s="332"/>
      <c r="G238" s="333">
        <f t="shared" si="2"/>
        <v>0.09</v>
      </c>
      <c r="H238" s="333">
        <f t="shared" si="3"/>
        <v>0.18</v>
      </c>
      <c r="I238" s="334" t="s">
        <v>2</v>
      </c>
    </row>
    <row r="239" spans="1:9" s="11" customFormat="1" x14ac:dyDescent="0.2">
      <c r="A239" s="330"/>
      <c r="B239" s="575" t="s">
        <v>436</v>
      </c>
      <c r="C239" s="332">
        <v>6</v>
      </c>
      <c r="D239" s="332">
        <v>0.9</v>
      </c>
      <c r="E239" s="332"/>
      <c r="F239" s="332">
        <v>0.2</v>
      </c>
      <c r="G239" s="333">
        <f t="shared" si="2"/>
        <v>0.18000000000000002</v>
      </c>
      <c r="H239" s="333">
        <f t="shared" si="3"/>
        <v>1.08</v>
      </c>
      <c r="I239" s="334" t="s">
        <v>2</v>
      </c>
    </row>
    <row r="240" spans="1:9" s="11" customFormat="1" x14ac:dyDescent="0.2">
      <c r="A240" s="330"/>
      <c r="B240" s="331"/>
      <c r="C240" s="332">
        <v>6</v>
      </c>
      <c r="D240" s="332">
        <v>0.9</v>
      </c>
      <c r="E240" s="332">
        <v>0.2</v>
      </c>
      <c r="F240" s="332"/>
      <c r="G240" s="333">
        <f t="shared" si="2"/>
        <v>0.18000000000000002</v>
      </c>
      <c r="H240" s="333">
        <f t="shared" si="3"/>
        <v>1.08</v>
      </c>
      <c r="I240" s="334" t="s">
        <v>2</v>
      </c>
    </row>
    <row r="241" spans="1:9" s="11" customFormat="1" ht="13.5" thickBot="1" x14ac:dyDescent="0.25">
      <c r="A241" s="330"/>
      <c r="B241" s="331"/>
      <c r="C241" s="332"/>
      <c r="D241" s="332"/>
      <c r="E241" s="332"/>
      <c r="F241" s="332"/>
      <c r="G241" s="333"/>
      <c r="H241" s="333"/>
      <c r="I241" s="334"/>
    </row>
    <row r="242" spans="1:9" s="12" customFormat="1" ht="12.75" customHeight="1" thickBot="1" x14ac:dyDescent="0.25">
      <c r="A242" s="408" t="s">
        <v>532</v>
      </c>
      <c r="B242" s="705" t="s">
        <v>759</v>
      </c>
      <c r="C242" s="706"/>
      <c r="D242" s="706"/>
      <c r="E242" s="706"/>
      <c r="F242" s="706"/>
      <c r="G242" s="707"/>
      <c r="H242" s="410">
        <f>SUM(H243:H246)</f>
        <v>86.304000000000002</v>
      </c>
      <c r="I242" s="444" t="s">
        <v>2</v>
      </c>
    </row>
    <row r="243" spans="1:9" s="11" customFormat="1" x14ac:dyDescent="0.2">
      <c r="A243" s="330"/>
      <c r="B243" s="331"/>
      <c r="C243" s="332"/>
      <c r="D243" s="332"/>
      <c r="E243" s="332"/>
      <c r="F243" s="332"/>
      <c r="G243" s="333"/>
      <c r="H243" s="333"/>
      <c r="I243" s="334"/>
    </row>
    <row r="244" spans="1:9" s="11" customFormat="1" x14ac:dyDescent="0.2">
      <c r="A244" s="330"/>
      <c r="B244" s="575" t="s">
        <v>560</v>
      </c>
      <c r="C244" s="332">
        <v>1</v>
      </c>
      <c r="D244" s="332"/>
      <c r="E244" s="332"/>
      <c r="F244" s="332"/>
      <c r="G244" s="333">
        <v>80.468000000000004</v>
      </c>
      <c r="H244" s="333">
        <f>G244*C244</f>
        <v>80.468000000000004</v>
      </c>
      <c r="I244" s="334" t="s">
        <v>2</v>
      </c>
    </row>
    <row r="245" spans="1:9" s="11" customFormat="1" x14ac:dyDescent="0.2">
      <c r="A245" s="330"/>
      <c r="B245" s="575" t="s">
        <v>561</v>
      </c>
      <c r="C245" s="332">
        <v>1</v>
      </c>
      <c r="D245" s="332"/>
      <c r="E245" s="332"/>
      <c r="F245" s="332"/>
      <c r="G245" s="333">
        <v>5.8360000000000003</v>
      </c>
      <c r="H245" s="333">
        <f>G245*C245</f>
        <v>5.8360000000000003</v>
      </c>
      <c r="I245" s="334" t="s">
        <v>2</v>
      </c>
    </row>
    <row r="246" spans="1:9" s="11" customFormat="1" ht="13.5" thickBot="1" x14ac:dyDescent="0.25">
      <c r="A246" s="330"/>
      <c r="B246" s="331"/>
      <c r="C246" s="332"/>
      <c r="D246" s="332"/>
      <c r="E246" s="332"/>
      <c r="F246" s="332"/>
      <c r="G246" s="333"/>
      <c r="H246" s="333"/>
      <c r="I246" s="334"/>
    </row>
    <row r="247" spans="1:9" s="12" customFormat="1" ht="12.75" customHeight="1" thickBot="1" x14ac:dyDescent="0.25">
      <c r="A247" s="408" t="s">
        <v>562</v>
      </c>
      <c r="B247" s="705" t="s">
        <v>760</v>
      </c>
      <c r="C247" s="706"/>
      <c r="D247" s="706"/>
      <c r="E247" s="706"/>
      <c r="F247" s="706"/>
      <c r="G247" s="707"/>
      <c r="H247" s="410">
        <f>SUM(H248:H249)</f>
        <v>1</v>
      </c>
      <c r="I247" s="444" t="s">
        <v>8</v>
      </c>
    </row>
    <row r="248" spans="1:9" s="11" customFormat="1" x14ac:dyDescent="0.2">
      <c r="A248" s="335"/>
      <c r="B248" s="336"/>
      <c r="C248" s="337"/>
      <c r="D248" s="338"/>
      <c r="E248" s="338"/>
      <c r="F248" s="339"/>
      <c r="G248" s="338"/>
      <c r="H248" s="340"/>
      <c r="I248" s="341"/>
    </row>
    <row r="249" spans="1:9" s="11" customFormat="1" x14ac:dyDescent="0.2">
      <c r="A249" s="335"/>
      <c r="B249" s="537" t="s">
        <v>473</v>
      </c>
      <c r="C249" s="337">
        <v>1</v>
      </c>
      <c r="D249" s="338"/>
      <c r="E249" s="338"/>
      <c r="F249" s="339"/>
      <c r="G249" s="338">
        <v>1</v>
      </c>
      <c r="H249" s="340">
        <f>G249*C249</f>
        <v>1</v>
      </c>
      <c r="I249" s="341" t="s">
        <v>8</v>
      </c>
    </row>
    <row r="250" spans="1:9" s="11" customFormat="1" ht="13.5" thickBot="1" x14ac:dyDescent="0.25">
      <c r="A250" s="335"/>
      <c r="B250" s="342"/>
      <c r="C250" s="343"/>
      <c r="D250" s="344"/>
      <c r="E250" s="344"/>
      <c r="F250" s="345"/>
      <c r="G250" s="338"/>
      <c r="H250" s="340"/>
      <c r="I250" s="346"/>
    </row>
    <row r="251" spans="1:9" s="12" customFormat="1" ht="12.75" customHeight="1" thickBot="1" x14ac:dyDescent="0.25">
      <c r="A251" s="408" t="s">
        <v>563</v>
      </c>
      <c r="B251" s="705" t="s">
        <v>669</v>
      </c>
      <c r="C251" s="706"/>
      <c r="D251" s="706"/>
      <c r="E251" s="706"/>
      <c r="F251" s="706"/>
      <c r="G251" s="707"/>
      <c r="H251" s="410">
        <f>SUM(H252:H253)</f>
        <v>1</v>
      </c>
      <c r="I251" s="444" t="s">
        <v>8</v>
      </c>
    </row>
    <row r="252" spans="1:9" s="11" customFormat="1" x14ac:dyDescent="0.2">
      <c r="A252" s="335"/>
      <c r="B252" s="336"/>
      <c r="C252" s="337"/>
      <c r="D252" s="338"/>
      <c r="E252" s="338"/>
      <c r="F252" s="339"/>
      <c r="G252" s="338"/>
      <c r="H252" s="340"/>
      <c r="I252" s="341"/>
    </row>
    <row r="253" spans="1:9" s="11" customFormat="1" x14ac:dyDescent="0.2">
      <c r="A253" s="335"/>
      <c r="B253" s="537" t="s">
        <v>670</v>
      </c>
      <c r="C253" s="337">
        <v>1</v>
      </c>
      <c r="D253" s="338"/>
      <c r="E253" s="338"/>
      <c r="F253" s="339"/>
      <c r="G253" s="338">
        <v>1</v>
      </c>
      <c r="H253" s="340">
        <f>G253*C253</f>
        <v>1</v>
      </c>
      <c r="I253" s="341" t="s">
        <v>8</v>
      </c>
    </row>
    <row r="254" spans="1:9" s="11" customFormat="1" ht="13.5" thickBot="1" x14ac:dyDescent="0.25">
      <c r="A254" s="335"/>
      <c r="B254" s="342"/>
      <c r="C254" s="343"/>
      <c r="D254" s="344"/>
      <c r="E254" s="344"/>
      <c r="F254" s="345"/>
      <c r="G254" s="338"/>
      <c r="H254" s="340"/>
      <c r="I254" s="346"/>
    </row>
    <row r="255" spans="1:9" s="11" customFormat="1" ht="13.5" thickBot="1" x14ac:dyDescent="0.25">
      <c r="A255" s="613" t="s">
        <v>564</v>
      </c>
      <c r="B255" s="708" t="s">
        <v>533</v>
      </c>
      <c r="C255" s="709"/>
      <c r="D255" s="709"/>
      <c r="E255" s="709"/>
      <c r="F255" s="709"/>
      <c r="G255" s="709"/>
      <c r="H255" s="709"/>
      <c r="I255" s="710"/>
    </row>
    <row r="256" spans="1:9" s="12" customFormat="1" ht="12.75" customHeight="1" thickBot="1" x14ac:dyDescent="0.25">
      <c r="A256" s="408" t="s">
        <v>565</v>
      </c>
      <c r="B256" s="520" t="s">
        <v>696</v>
      </c>
      <c r="C256" s="521"/>
      <c r="D256" s="521"/>
      <c r="E256" s="521"/>
      <c r="F256" s="521"/>
      <c r="G256" s="522"/>
      <c r="H256" s="410">
        <f>SUM(H257:H258)</f>
        <v>3</v>
      </c>
      <c r="I256" s="444" t="s">
        <v>8</v>
      </c>
    </row>
    <row r="257" spans="1:9" s="11" customFormat="1" x14ac:dyDescent="0.2">
      <c r="A257" s="614"/>
      <c r="B257" s="157"/>
      <c r="C257" s="158"/>
      <c r="D257" s="344"/>
      <c r="E257" s="344"/>
      <c r="F257" s="345"/>
      <c r="G257" s="338"/>
      <c r="H257" s="340"/>
      <c r="I257" s="346"/>
    </row>
    <row r="258" spans="1:9" s="11" customFormat="1" x14ac:dyDescent="0.2">
      <c r="A258" s="614"/>
      <c r="B258" s="577" t="s">
        <v>534</v>
      </c>
      <c r="C258" s="159">
        <v>3</v>
      </c>
      <c r="D258" s="344"/>
      <c r="E258" s="344"/>
      <c r="F258" s="345"/>
      <c r="G258" s="338">
        <v>1</v>
      </c>
      <c r="H258" s="340">
        <f>G258*C258</f>
        <v>3</v>
      </c>
      <c r="I258" s="341" t="s">
        <v>8</v>
      </c>
    </row>
    <row r="259" spans="1:9" s="11" customFormat="1" ht="13.5" thickBot="1" x14ac:dyDescent="0.25">
      <c r="A259" s="614"/>
      <c r="B259" s="160"/>
      <c r="C259" s="161"/>
      <c r="D259" s="344"/>
      <c r="E259" s="344"/>
      <c r="F259" s="345"/>
      <c r="G259" s="338"/>
      <c r="H259" s="340"/>
      <c r="I259" s="346"/>
    </row>
    <row r="260" spans="1:9" s="12" customFormat="1" ht="12.75" customHeight="1" thickBot="1" x14ac:dyDescent="0.25">
      <c r="A260" s="408" t="s">
        <v>671</v>
      </c>
      <c r="B260" s="520" t="s">
        <v>697</v>
      </c>
      <c r="C260" s="521"/>
      <c r="D260" s="521"/>
      <c r="E260" s="521"/>
      <c r="F260" s="521"/>
      <c r="G260" s="522"/>
      <c r="H260" s="410">
        <f>SUM(H261:H262)</f>
        <v>3</v>
      </c>
      <c r="I260" s="444" t="s">
        <v>8</v>
      </c>
    </row>
    <row r="261" spans="1:9" s="11" customFormat="1" x14ac:dyDescent="0.2">
      <c r="A261" s="615"/>
      <c r="B261" s="162"/>
      <c r="C261" s="163"/>
      <c r="D261" s="344"/>
      <c r="E261" s="344"/>
      <c r="F261" s="345"/>
      <c r="G261" s="338"/>
      <c r="H261" s="340"/>
      <c r="I261" s="346"/>
    </row>
    <row r="262" spans="1:9" s="11" customFormat="1" x14ac:dyDescent="0.2">
      <c r="A262" s="616"/>
      <c r="B262" s="577" t="s">
        <v>534</v>
      </c>
      <c r="C262" s="159">
        <v>3</v>
      </c>
      <c r="D262" s="344"/>
      <c r="E262" s="344"/>
      <c r="F262" s="345"/>
      <c r="G262" s="338">
        <v>1</v>
      </c>
      <c r="H262" s="340">
        <f>G262*C262</f>
        <v>3</v>
      </c>
      <c r="I262" s="341" t="s">
        <v>8</v>
      </c>
    </row>
    <row r="263" spans="1:9" s="11" customFormat="1" ht="13.5" thickBot="1" x14ac:dyDescent="0.25">
      <c r="A263" s="616"/>
      <c r="B263" s="164"/>
      <c r="C263" s="165"/>
      <c r="D263" s="344"/>
      <c r="E263" s="344"/>
      <c r="F263" s="345"/>
      <c r="G263" s="338"/>
      <c r="H263" s="340"/>
      <c r="I263" s="346"/>
    </row>
    <row r="264" spans="1:9" s="12" customFormat="1" ht="12.75" customHeight="1" thickBot="1" x14ac:dyDescent="0.25">
      <c r="A264" s="408" t="s">
        <v>672</v>
      </c>
      <c r="B264" s="520" t="s">
        <v>698</v>
      </c>
      <c r="C264" s="521"/>
      <c r="D264" s="521"/>
      <c r="E264" s="521"/>
      <c r="F264" s="521"/>
      <c r="G264" s="522"/>
      <c r="H264" s="410">
        <f>SUM(H265:H266)</f>
        <v>3</v>
      </c>
      <c r="I264" s="444" t="s">
        <v>8</v>
      </c>
    </row>
    <row r="265" spans="1:9" s="11" customFormat="1" x14ac:dyDescent="0.2">
      <c r="A265" s="614"/>
      <c r="B265" s="162"/>
      <c r="C265" s="163"/>
      <c r="D265" s="344"/>
      <c r="E265" s="344"/>
      <c r="F265" s="345"/>
      <c r="G265" s="338"/>
      <c r="H265" s="340"/>
      <c r="I265" s="346"/>
    </row>
    <row r="266" spans="1:9" s="11" customFormat="1" x14ac:dyDescent="0.2">
      <c r="A266" s="614"/>
      <c r="B266" s="577" t="s">
        <v>534</v>
      </c>
      <c r="C266" s="159">
        <v>3</v>
      </c>
      <c r="D266" s="344"/>
      <c r="E266" s="344"/>
      <c r="F266" s="345"/>
      <c r="G266" s="338">
        <v>1</v>
      </c>
      <c r="H266" s="340">
        <f>G266*C266</f>
        <v>3</v>
      </c>
      <c r="I266" s="341" t="s">
        <v>8</v>
      </c>
    </row>
    <row r="267" spans="1:9" s="11" customFormat="1" ht="13.5" thickBot="1" x14ac:dyDescent="0.25">
      <c r="A267" s="614"/>
      <c r="B267" s="164"/>
      <c r="C267" s="165"/>
      <c r="D267" s="344"/>
      <c r="E267" s="344"/>
      <c r="F267" s="345"/>
      <c r="G267" s="338"/>
      <c r="H267" s="340"/>
      <c r="I267" s="346"/>
    </row>
    <row r="268" spans="1:9" s="12" customFormat="1" ht="12.75" customHeight="1" thickBot="1" x14ac:dyDescent="0.25">
      <c r="A268" s="408" t="s">
        <v>673</v>
      </c>
      <c r="B268" s="520" t="s">
        <v>699</v>
      </c>
      <c r="C268" s="521"/>
      <c r="D268" s="521"/>
      <c r="E268" s="521"/>
      <c r="F268" s="521"/>
      <c r="G268" s="522"/>
      <c r="H268" s="410">
        <f>SUM(H269:H270)</f>
        <v>3</v>
      </c>
      <c r="I268" s="444" t="s">
        <v>8</v>
      </c>
    </row>
    <row r="269" spans="1:9" s="11" customFormat="1" x14ac:dyDescent="0.2">
      <c r="A269" s="615"/>
      <c r="B269" s="162"/>
      <c r="C269" s="163"/>
      <c r="D269" s="344"/>
      <c r="E269" s="344"/>
      <c r="F269" s="345"/>
      <c r="G269" s="338"/>
      <c r="H269" s="340"/>
      <c r="I269" s="346"/>
    </row>
    <row r="270" spans="1:9" s="11" customFormat="1" x14ac:dyDescent="0.2">
      <c r="A270" s="616"/>
      <c r="B270" s="577" t="s">
        <v>534</v>
      </c>
      <c r="C270" s="159">
        <v>3</v>
      </c>
      <c r="D270" s="344"/>
      <c r="E270" s="344"/>
      <c r="F270" s="345"/>
      <c r="G270" s="338">
        <v>1</v>
      </c>
      <c r="H270" s="340">
        <f>G270*C270</f>
        <v>3</v>
      </c>
      <c r="I270" s="341" t="s">
        <v>8</v>
      </c>
    </row>
    <row r="271" spans="1:9" s="11" customFormat="1" ht="13.5" thickBot="1" x14ac:dyDescent="0.25">
      <c r="A271" s="616"/>
      <c r="B271" s="164"/>
      <c r="C271" s="165"/>
      <c r="D271" s="344"/>
      <c r="E271" s="344"/>
      <c r="F271" s="345"/>
      <c r="G271" s="338"/>
      <c r="H271" s="340"/>
      <c r="I271" s="346"/>
    </row>
    <row r="272" spans="1:9" s="12" customFormat="1" ht="12.75" customHeight="1" thickBot="1" x14ac:dyDescent="0.25">
      <c r="A272" s="408" t="s">
        <v>674</v>
      </c>
      <c r="B272" s="520" t="s">
        <v>700</v>
      </c>
      <c r="C272" s="521"/>
      <c r="D272" s="521"/>
      <c r="E272" s="521"/>
      <c r="F272" s="521"/>
      <c r="G272" s="522"/>
      <c r="H272" s="410">
        <f>SUM(H274:H277)</f>
        <v>10</v>
      </c>
      <c r="I272" s="444" t="s">
        <v>8</v>
      </c>
    </row>
    <row r="273" spans="1:9" s="11" customFormat="1" x14ac:dyDescent="0.2">
      <c r="A273" s="616"/>
      <c r="B273" s="157"/>
      <c r="C273" s="158"/>
      <c r="D273" s="344"/>
      <c r="E273" s="344"/>
      <c r="F273" s="345"/>
      <c r="G273" s="338"/>
      <c r="H273" s="340"/>
      <c r="I273" s="346"/>
    </row>
    <row r="274" spans="1:9" s="11" customFormat="1" x14ac:dyDescent="0.2">
      <c r="A274" s="617"/>
      <c r="B274" s="578" t="s">
        <v>535</v>
      </c>
      <c r="C274" s="167">
        <v>3</v>
      </c>
      <c r="D274" s="344"/>
      <c r="E274" s="344"/>
      <c r="F274" s="345"/>
      <c r="G274" s="338">
        <v>1</v>
      </c>
      <c r="H274" s="340">
        <f>G274*C274</f>
        <v>3</v>
      </c>
      <c r="I274" s="341" t="s">
        <v>8</v>
      </c>
    </row>
    <row r="275" spans="1:9" s="11" customFormat="1" x14ac:dyDescent="0.2">
      <c r="A275" s="617"/>
      <c r="B275" s="578" t="s">
        <v>536</v>
      </c>
      <c r="C275" s="167">
        <v>1</v>
      </c>
      <c r="D275" s="344"/>
      <c r="E275" s="344"/>
      <c r="F275" s="345"/>
      <c r="G275" s="338">
        <v>1</v>
      </c>
      <c r="H275" s="340">
        <f>G275*C275</f>
        <v>1</v>
      </c>
      <c r="I275" s="341" t="s">
        <v>8</v>
      </c>
    </row>
    <row r="276" spans="1:9" s="11" customFormat="1" x14ac:dyDescent="0.2">
      <c r="A276" s="617"/>
      <c r="B276" s="578" t="s">
        <v>537</v>
      </c>
      <c r="C276" s="167">
        <v>3</v>
      </c>
      <c r="D276" s="344"/>
      <c r="E276" s="344"/>
      <c r="F276" s="345"/>
      <c r="G276" s="338">
        <v>1</v>
      </c>
      <c r="H276" s="340">
        <f>G276*C276</f>
        <v>3</v>
      </c>
      <c r="I276" s="341" t="s">
        <v>8</v>
      </c>
    </row>
    <row r="277" spans="1:9" s="11" customFormat="1" x14ac:dyDescent="0.2">
      <c r="A277" s="617"/>
      <c r="B277" s="578" t="s">
        <v>538</v>
      </c>
      <c r="C277" s="167">
        <v>3</v>
      </c>
      <c r="D277" s="344"/>
      <c r="E277" s="344"/>
      <c r="F277" s="345"/>
      <c r="G277" s="338">
        <v>1</v>
      </c>
      <c r="H277" s="340">
        <f>G277*C277</f>
        <v>3</v>
      </c>
      <c r="I277" s="341" t="s">
        <v>8</v>
      </c>
    </row>
    <row r="278" spans="1:9" s="11" customFormat="1" ht="13.5" thickBot="1" x14ac:dyDescent="0.25">
      <c r="A278" s="617"/>
      <c r="B278" s="168"/>
      <c r="C278" s="169"/>
      <c r="D278" s="344"/>
      <c r="E278" s="344"/>
      <c r="F278" s="345"/>
      <c r="G278" s="338"/>
      <c r="H278" s="340"/>
      <c r="I278" s="346"/>
    </row>
    <row r="279" spans="1:9" s="11" customFormat="1" ht="13.5" thickBot="1" x14ac:dyDescent="0.25">
      <c r="A279" s="613" t="s">
        <v>566</v>
      </c>
      <c r="B279" s="708" t="s">
        <v>539</v>
      </c>
      <c r="C279" s="709"/>
      <c r="D279" s="709"/>
      <c r="E279" s="709"/>
      <c r="F279" s="709"/>
      <c r="G279" s="709"/>
      <c r="H279" s="709"/>
      <c r="I279" s="710"/>
    </row>
    <row r="280" spans="1:9" s="12" customFormat="1" ht="12.75" customHeight="1" thickBot="1" x14ac:dyDescent="0.25">
      <c r="A280" s="408" t="s">
        <v>567</v>
      </c>
      <c r="B280" s="520" t="s">
        <v>701</v>
      </c>
      <c r="C280" s="521"/>
      <c r="D280" s="521"/>
      <c r="E280" s="521"/>
      <c r="F280" s="521"/>
      <c r="G280" s="522"/>
      <c r="H280" s="410">
        <f>SUM(H282:H285)</f>
        <v>10</v>
      </c>
      <c r="I280" s="444" t="s">
        <v>557</v>
      </c>
    </row>
    <row r="281" spans="1:9" s="11" customFormat="1" x14ac:dyDescent="0.2">
      <c r="A281" s="616"/>
      <c r="B281" s="162"/>
      <c r="C281" s="170"/>
      <c r="D281" s="344"/>
      <c r="E281" s="344"/>
      <c r="F281" s="345"/>
      <c r="G281" s="338"/>
      <c r="H281" s="340"/>
      <c r="I281" s="346"/>
    </row>
    <row r="282" spans="1:9" s="11" customFormat="1" x14ac:dyDescent="0.2">
      <c r="A282" s="617"/>
      <c r="B282" s="578" t="s">
        <v>535</v>
      </c>
      <c r="C282" s="167">
        <v>3</v>
      </c>
      <c r="D282" s="344"/>
      <c r="E282" s="344"/>
      <c r="F282" s="345"/>
      <c r="G282" s="338">
        <v>1</v>
      </c>
      <c r="H282" s="340">
        <f>G282*C282</f>
        <v>3</v>
      </c>
      <c r="I282" s="341" t="s">
        <v>557</v>
      </c>
    </row>
    <row r="283" spans="1:9" s="11" customFormat="1" x14ac:dyDescent="0.2">
      <c r="A283" s="617"/>
      <c r="B283" s="578" t="s">
        <v>536</v>
      </c>
      <c r="C283" s="167">
        <v>1</v>
      </c>
      <c r="D283" s="344"/>
      <c r="E283" s="344"/>
      <c r="F283" s="345"/>
      <c r="G283" s="338">
        <v>1</v>
      </c>
      <c r="H283" s="340">
        <f>G283*C283</f>
        <v>1</v>
      </c>
      <c r="I283" s="341" t="s">
        <v>557</v>
      </c>
    </row>
    <row r="284" spans="1:9" s="11" customFormat="1" x14ac:dyDescent="0.2">
      <c r="A284" s="617"/>
      <c r="B284" s="578" t="s">
        <v>537</v>
      </c>
      <c r="C284" s="167">
        <v>3</v>
      </c>
      <c r="D284" s="344"/>
      <c r="E284" s="344"/>
      <c r="F284" s="345"/>
      <c r="G284" s="338">
        <v>1</v>
      </c>
      <c r="H284" s="340">
        <f>G284*C284</f>
        <v>3</v>
      </c>
      <c r="I284" s="341" t="s">
        <v>557</v>
      </c>
    </row>
    <row r="285" spans="1:9" s="11" customFormat="1" x14ac:dyDescent="0.2">
      <c r="A285" s="617"/>
      <c r="B285" s="578" t="s">
        <v>538</v>
      </c>
      <c r="C285" s="167">
        <v>3</v>
      </c>
      <c r="D285" s="344"/>
      <c r="E285" s="344"/>
      <c r="F285" s="345"/>
      <c r="G285" s="338">
        <v>1</v>
      </c>
      <c r="H285" s="340">
        <f>G285*C285</f>
        <v>3</v>
      </c>
      <c r="I285" s="341" t="s">
        <v>557</v>
      </c>
    </row>
    <row r="286" spans="1:9" s="11" customFormat="1" ht="13.5" thickBot="1" x14ac:dyDescent="0.25">
      <c r="A286" s="617"/>
      <c r="B286" s="164"/>
      <c r="C286" s="165"/>
      <c r="D286" s="344"/>
      <c r="E286" s="344"/>
      <c r="F286" s="345"/>
      <c r="G286" s="338"/>
      <c r="H286" s="340"/>
      <c r="I286" s="346"/>
    </row>
    <row r="287" spans="1:9" s="11" customFormat="1" ht="13.5" thickBot="1" x14ac:dyDescent="0.25">
      <c r="A287" s="613" t="s">
        <v>568</v>
      </c>
      <c r="B287" s="708" t="s">
        <v>540</v>
      </c>
      <c r="C287" s="709"/>
      <c r="D287" s="709"/>
      <c r="E287" s="709"/>
      <c r="F287" s="709"/>
      <c r="G287" s="709"/>
      <c r="H287" s="709"/>
      <c r="I287" s="710"/>
    </row>
    <row r="288" spans="1:9" s="12" customFormat="1" ht="12.75" customHeight="1" thickBot="1" x14ac:dyDescent="0.25">
      <c r="A288" s="408" t="s">
        <v>569</v>
      </c>
      <c r="B288" s="520" t="s">
        <v>702</v>
      </c>
      <c r="C288" s="521"/>
      <c r="D288" s="521"/>
      <c r="E288" s="521"/>
      <c r="F288" s="521"/>
      <c r="G288" s="522"/>
      <c r="H288" s="410">
        <f>SUM(H289:H290)</f>
        <v>46.1</v>
      </c>
      <c r="I288" s="444" t="s">
        <v>9</v>
      </c>
    </row>
    <row r="289" spans="1:9" s="11" customFormat="1" x14ac:dyDescent="0.2">
      <c r="A289" s="615"/>
      <c r="B289" s="171"/>
      <c r="C289" s="172"/>
      <c r="D289" s="344"/>
      <c r="E289" s="344"/>
      <c r="F289" s="345"/>
      <c r="G289" s="338"/>
      <c r="H289" s="340"/>
      <c r="I289" s="346"/>
    </row>
    <row r="290" spans="1:9" s="11" customFormat="1" x14ac:dyDescent="0.2">
      <c r="A290" s="615"/>
      <c r="B290" s="578" t="s">
        <v>534</v>
      </c>
      <c r="C290" s="167">
        <v>1</v>
      </c>
      <c r="D290" s="347">
        <v>46.1</v>
      </c>
      <c r="E290" s="344"/>
      <c r="F290" s="345"/>
      <c r="G290" s="338">
        <f>PRODUCT(D290:F290)</f>
        <v>46.1</v>
      </c>
      <c r="H290" s="340">
        <f>G290*C290</f>
        <v>46.1</v>
      </c>
      <c r="I290" s="341" t="s">
        <v>9</v>
      </c>
    </row>
    <row r="291" spans="1:9" s="11" customFormat="1" ht="13.5" thickBot="1" x14ac:dyDescent="0.25">
      <c r="A291" s="615"/>
      <c r="B291" s="164"/>
      <c r="C291" s="165"/>
      <c r="D291" s="344"/>
      <c r="E291" s="344"/>
      <c r="F291" s="345"/>
      <c r="G291" s="338"/>
      <c r="H291" s="340"/>
      <c r="I291" s="346"/>
    </row>
    <row r="292" spans="1:9" s="11" customFormat="1" ht="13.5" thickBot="1" x14ac:dyDescent="0.25">
      <c r="A292" s="613" t="s">
        <v>570</v>
      </c>
      <c r="B292" s="708" t="s">
        <v>541</v>
      </c>
      <c r="C292" s="709"/>
      <c r="D292" s="709"/>
      <c r="E292" s="709"/>
      <c r="F292" s="709"/>
      <c r="G292" s="709"/>
      <c r="H292" s="709"/>
      <c r="I292" s="710"/>
    </row>
    <row r="293" spans="1:9" s="12" customFormat="1" ht="12.75" customHeight="1" thickBot="1" x14ac:dyDescent="0.25">
      <c r="A293" s="408" t="s">
        <v>571</v>
      </c>
      <c r="B293" s="520" t="s">
        <v>702</v>
      </c>
      <c r="C293" s="521"/>
      <c r="D293" s="521"/>
      <c r="E293" s="521"/>
      <c r="F293" s="521"/>
      <c r="G293" s="522"/>
      <c r="H293" s="410">
        <f>SUM(H294:H295)</f>
        <v>4.0999999999999996</v>
      </c>
      <c r="I293" s="444" t="s">
        <v>9</v>
      </c>
    </row>
    <row r="294" spans="1:9" s="11" customFormat="1" x14ac:dyDescent="0.2">
      <c r="A294" s="615"/>
      <c r="B294" s="171"/>
      <c r="C294" s="172"/>
      <c r="D294" s="344"/>
      <c r="E294" s="344"/>
      <c r="F294" s="345"/>
      <c r="G294" s="338"/>
      <c r="H294" s="340"/>
      <c r="I294" s="346"/>
    </row>
    <row r="295" spans="1:9" s="11" customFormat="1" x14ac:dyDescent="0.2">
      <c r="A295" s="615"/>
      <c r="B295" s="578" t="s">
        <v>534</v>
      </c>
      <c r="C295" s="167">
        <v>1</v>
      </c>
      <c r="D295" s="347">
        <v>4.0999999999999996</v>
      </c>
      <c r="E295" s="344"/>
      <c r="F295" s="345"/>
      <c r="G295" s="338">
        <f>PRODUCT(D295:F295)</f>
        <v>4.0999999999999996</v>
      </c>
      <c r="H295" s="340">
        <f>G295*C295</f>
        <v>4.0999999999999996</v>
      </c>
      <c r="I295" s="341" t="s">
        <v>9</v>
      </c>
    </row>
    <row r="296" spans="1:9" s="11" customFormat="1" ht="13.5" thickBot="1" x14ac:dyDescent="0.25">
      <c r="A296" s="615"/>
      <c r="B296" s="164"/>
      <c r="C296" s="165"/>
      <c r="D296" s="344"/>
      <c r="E296" s="344"/>
      <c r="F296" s="345"/>
      <c r="G296" s="338"/>
      <c r="H296" s="340"/>
      <c r="I296" s="346"/>
    </row>
    <row r="297" spans="1:9" s="11" customFormat="1" ht="13.5" thickBot="1" x14ac:dyDescent="0.25">
      <c r="A297" s="613" t="s">
        <v>572</v>
      </c>
      <c r="B297" s="708" t="s">
        <v>542</v>
      </c>
      <c r="C297" s="709"/>
      <c r="D297" s="709"/>
      <c r="E297" s="709"/>
      <c r="F297" s="709"/>
      <c r="G297" s="709"/>
      <c r="H297" s="709"/>
      <c r="I297" s="710"/>
    </row>
    <row r="298" spans="1:9" s="12" customFormat="1" ht="12.75" customHeight="1" thickBot="1" x14ac:dyDescent="0.25">
      <c r="A298" s="408" t="s">
        <v>573</v>
      </c>
      <c r="B298" s="520" t="s">
        <v>703</v>
      </c>
      <c r="C298" s="521"/>
      <c r="D298" s="521"/>
      <c r="E298" s="521"/>
      <c r="F298" s="521"/>
      <c r="G298" s="522"/>
      <c r="H298" s="410">
        <f>SUM(H299:H300)</f>
        <v>17</v>
      </c>
      <c r="I298" s="444" t="s">
        <v>8</v>
      </c>
    </row>
    <row r="299" spans="1:9" s="11" customFormat="1" x14ac:dyDescent="0.2">
      <c r="A299" s="615"/>
      <c r="B299" s="171"/>
      <c r="C299" s="172"/>
      <c r="D299" s="344"/>
      <c r="E299" s="344"/>
      <c r="F299" s="345"/>
      <c r="G299" s="338"/>
      <c r="H299" s="340"/>
      <c r="I299" s="346"/>
    </row>
    <row r="300" spans="1:9" s="11" customFormat="1" x14ac:dyDescent="0.2">
      <c r="A300" s="615"/>
      <c r="B300" s="578" t="s">
        <v>534</v>
      </c>
      <c r="C300" s="167">
        <v>17</v>
      </c>
      <c r="D300" s="344"/>
      <c r="E300" s="344"/>
      <c r="F300" s="345"/>
      <c r="G300" s="338">
        <v>1</v>
      </c>
      <c r="H300" s="340">
        <f>G300*C300</f>
        <v>17</v>
      </c>
      <c r="I300" s="341" t="s">
        <v>8</v>
      </c>
    </row>
    <row r="301" spans="1:9" s="11" customFormat="1" ht="13.5" thickBot="1" x14ac:dyDescent="0.25">
      <c r="A301" s="615"/>
      <c r="B301" s="168"/>
      <c r="C301" s="169"/>
      <c r="D301" s="344"/>
      <c r="E301" s="344"/>
      <c r="F301" s="345"/>
      <c r="G301" s="338"/>
      <c r="H301" s="340"/>
      <c r="I301" s="346"/>
    </row>
    <row r="302" spans="1:9" s="12" customFormat="1" ht="12.75" customHeight="1" thickBot="1" x14ac:dyDescent="0.25">
      <c r="A302" s="408" t="s">
        <v>675</v>
      </c>
      <c r="B302" s="520" t="s">
        <v>704</v>
      </c>
      <c r="C302" s="521"/>
      <c r="D302" s="521"/>
      <c r="E302" s="521"/>
      <c r="F302" s="521"/>
      <c r="G302" s="522"/>
      <c r="H302" s="410">
        <f>SUM(H303:H304)</f>
        <v>1</v>
      </c>
      <c r="I302" s="444" t="s">
        <v>8</v>
      </c>
    </row>
    <row r="303" spans="1:9" s="11" customFormat="1" x14ac:dyDescent="0.2">
      <c r="A303" s="615"/>
      <c r="B303" s="166"/>
      <c r="C303" s="173"/>
      <c r="D303" s="344"/>
      <c r="E303" s="344"/>
      <c r="F303" s="345"/>
      <c r="G303" s="338"/>
      <c r="H303" s="340"/>
      <c r="I303" s="346"/>
    </row>
    <row r="304" spans="1:9" s="11" customFormat="1" x14ac:dyDescent="0.2">
      <c r="A304" s="615"/>
      <c r="B304" s="578" t="s">
        <v>534</v>
      </c>
      <c r="C304" s="167">
        <v>1</v>
      </c>
      <c r="D304" s="344"/>
      <c r="E304" s="344"/>
      <c r="F304" s="345"/>
      <c r="G304" s="338">
        <v>1</v>
      </c>
      <c r="H304" s="340">
        <f>G304*C304</f>
        <v>1</v>
      </c>
      <c r="I304" s="341" t="s">
        <v>8</v>
      </c>
    </row>
    <row r="305" spans="1:9" s="11" customFormat="1" ht="13.5" thickBot="1" x14ac:dyDescent="0.25">
      <c r="A305" s="616"/>
      <c r="B305" s="166"/>
      <c r="C305" s="173"/>
      <c r="D305" s="344"/>
      <c r="E305" s="344"/>
      <c r="F305" s="345"/>
      <c r="G305" s="338"/>
      <c r="H305" s="340"/>
      <c r="I305" s="346"/>
    </row>
    <row r="306" spans="1:9" s="12" customFormat="1" ht="12.75" customHeight="1" thickBot="1" x14ac:dyDescent="0.25">
      <c r="A306" s="408" t="s">
        <v>676</v>
      </c>
      <c r="B306" s="520" t="s">
        <v>705</v>
      </c>
      <c r="C306" s="521"/>
      <c r="D306" s="521"/>
      <c r="E306" s="521"/>
      <c r="F306" s="521"/>
      <c r="G306" s="522"/>
      <c r="H306" s="410">
        <f>SUM(H307:H308)</f>
        <v>9</v>
      </c>
      <c r="I306" s="444" t="s">
        <v>8</v>
      </c>
    </row>
    <row r="307" spans="1:9" s="11" customFormat="1" x14ac:dyDescent="0.2">
      <c r="A307" s="615"/>
      <c r="B307" s="166"/>
      <c r="C307" s="173"/>
      <c r="D307" s="344"/>
      <c r="E307" s="344"/>
      <c r="F307" s="345"/>
      <c r="G307" s="338"/>
      <c r="H307" s="340"/>
      <c r="I307" s="346"/>
    </row>
    <row r="308" spans="1:9" s="11" customFormat="1" x14ac:dyDescent="0.2">
      <c r="A308" s="615"/>
      <c r="B308" s="578" t="s">
        <v>534</v>
      </c>
      <c r="C308" s="167">
        <v>9</v>
      </c>
      <c r="D308" s="344"/>
      <c r="E308" s="344"/>
      <c r="F308" s="345"/>
      <c r="G308" s="338">
        <v>1</v>
      </c>
      <c r="H308" s="340">
        <f>G308*C308</f>
        <v>9</v>
      </c>
      <c r="I308" s="341" t="s">
        <v>8</v>
      </c>
    </row>
    <row r="309" spans="1:9" s="11" customFormat="1" ht="13.5" thickBot="1" x14ac:dyDescent="0.25">
      <c r="A309" s="615"/>
      <c r="B309" s="578"/>
      <c r="C309" s="175"/>
      <c r="D309" s="344"/>
      <c r="E309" s="344"/>
      <c r="F309" s="345"/>
      <c r="G309" s="338"/>
      <c r="H309" s="340"/>
      <c r="I309" s="346"/>
    </row>
    <row r="310" spans="1:9" s="12" customFormat="1" ht="12.75" customHeight="1" thickBot="1" x14ac:dyDescent="0.25">
      <c r="A310" s="408" t="s">
        <v>677</v>
      </c>
      <c r="B310" s="520" t="s">
        <v>706</v>
      </c>
      <c r="C310" s="521"/>
      <c r="D310" s="521"/>
      <c r="E310" s="521"/>
      <c r="F310" s="521"/>
      <c r="G310" s="522"/>
      <c r="H310" s="410">
        <f>SUM(H311:H312)</f>
        <v>10</v>
      </c>
      <c r="I310" s="444" t="s">
        <v>8</v>
      </c>
    </row>
    <row r="311" spans="1:9" s="11" customFormat="1" x14ac:dyDescent="0.2">
      <c r="A311" s="615"/>
      <c r="B311" s="166"/>
      <c r="C311" s="173"/>
      <c r="D311" s="344"/>
      <c r="E311" s="344"/>
      <c r="F311" s="345"/>
      <c r="G311" s="338"/>
      <c r="H311" s="340"/>
      <c r="I311" s="346"/>
    </row>
    <row r="312" spans="1:9" s="11" customFormat="1" x14ac:dyDescent="0.2">
      <c r="A312" s="615"/>
      <c r="B312" s="578" t="s">
        <v>534</v>
      </c>
      <c r="C312" s="167">
        <v>10</v>
      </c>
      <c r="D312" s="344"/>
      <c r="E312" s="344"/>
      <c r="F312" s="345"/>
      <c r="G312" s="338">
        <v>1</v>
      </c>
      <c r="H312" s="340">
        <f>G312*C312</f>
        <v>10</v>
      </c>
      <c r="I312" s="341" t="s">
        <v>8</v>
      </c>
    </row>
    <row r="313" spans="1:9" s="11" customFormat="1" ht="13.5" thickBot="1" x14ac:dyDescent="0.25">
      <c r="A313" s="615"/>
      <c r="B313" s="174"/>
      <c r="C313" s="175"/>
      <c r="D313" s="344"/>
      <c r="E313" s="344"/>
      <c r="F313" s="345"/>
      <c r="G313" s="338"/>
      <c r="H313" s="340"/>
      <c r="I313" s="346"/>
    </row>
    <row r="314" spans="1:9" s="12" customFormat="1" ht="12.75" customHeight="1" thickBot="1" x14ac:dyDescent="0.25">
      <c r="A314" s="408" t="s">
        <v>678</v>
      </c>
      <c r="B314" s="520" t="s">
        <v>707</v>
      </c>
      <c r="C314" s="521"/>
      <c r="D314" s="521"/>
      <c r="E314" s="521"/>
      <c r="F314" s="521"/>
      <c r="G314" s="522"/>
      <c r="H314" s="410">
        <f>SUM(H315:H316)</f>
        <v>10</v>
      </c>
      <c r="I314" s="444" t="s">
        <v>8</v>
      </c>
    </row>
    <row r="315" spans="1:9" s="11" customFormat="1" x14ac:dyDescent="0.2">
      <c r="A315" s="615"/>
      <c r="B315" s="166"/>
      <c r="C315" s="173"/>
      <c r="D315" s="344"/>
      <c r="E315" s="344"/>
      <c r="F315" s="345"/>
      <c r="G315" s="338"/>
      <c r="H315" s="340"/>
      <c r="I315" s="346"/>
    </row>
    <row r="316" spans="1:9" s="11" customFormat="1" x14ac:dyDescent="0.2">
      <c r="A316" s="615"/>
      <c r="B316" s="578" t="s">
        <v>534</v>
      </c>
      <c r="C316" s="167">
        <v>10</v>
      </c>
      <c r="D316" s="344"/>
      <c r="E316" s="344"/>
      <c r="F316" s="345"/>
      <c r="G316" s="338">
        <v>1</v>
      </c>
      <c r="H316" s="340">
        <f>G316*C316</f>
        <v>10</v>
      </c>
      <c r="I316" s="341" t="s">
        <v>8</v>
      </c>
    </row>
    <row r="317" spans="1:9" s="11" customFormat="1" ht="13.5" thickBot="1" x14ac:dyDescent="0.25">
      <c r="A317" s="615"/>
      <c r="B317" s="174"/>
      <c r="C317" s="175"/>
      <c r="D317" s="344"/>
      <c r="E317" s="344"/>
      <c r="F317" s="345"/>
      <c r="G317" s="338"/>
      <c r="H317" s="340"/>
      <c r="I317" s="346"/>
    </row>
    <row r="318" spans="1:9" s="12" customFormat="1" ht="12.75" customHeight="1" thickBot="1" x14ac:dyDescent="0.25">
      <c r="A318" s="408" t="s">
        <v>679</v>
      </c>
      <c r="B318" s="520" t="s">
        <v>708</v>
      </c>
      <c r="C318" s="521"/>
      <c r="D318" s="521"/>
      <c r="E318" s="521"/>
      <c r="F318" s="521"/>
      <c r="G318" s="522"/>
      <c r="H318" s="410">
        <f>SUM(H319:H320)</f>
        <v>4</v>
      </c>
      <c r="I318" s="444" t="s">
        <v>8</v>
      </c>
    </row>
    <row r="319" spans="1:9" s="11" customFormat="1" x14ac:dyDescent="0.2">
      <c r="A319" s="615"/>
      <c r="B319" s="166"/>
      <c r="C319" s="173"/>
      <c r="D319" s="344"/>
      <c r="E319" s="344"/>
      <c r="F319" s="345"/>
      <c r="G319" s="338"/>
      <c r="H319" s="340"/>
      <c r="I319" s="346"/>
    </row>
    <row r="320" spans="1:9" s="11" customFormat="1" x14ac:dyDescent="0.2">
      <c r="A320" s="615"/>
      <c r="B320" s="578" t="s">
        <v>534</v>
      </c>
      <c r="C320" s="167">
        <v>4</v>
      </c>
      <c r="D320" s="344"/>
      <c r="E320" s="344"/>
      <c r="F320" s="345"/>
      <c r="G320" s="338">
        <v>1</v>
      </c>
      <c r="H320" s="340">
        <f>G320*C320</f>
        <v>4</v>
      </c>
      <c r="I320" s="341" t="s">
        <v>8</v>
      </c>
    </row>
    <row r="321" spans="1:9" s="11" customFormat="1" ht="15" customHeight="1" thickBot="1" x14ac:dyDescent="0.25">
      <c r="A321" s="615"/>
      <c r="B321" s="174"/>
      <c r="C321" s="175"/>
      <c r="D321" s="344"/>
      <c r="E321" s="344"/>
      <c r="F321" s="345"/>
      <c r="G321" s="338"/>
      <c r="H321" s="340"/>
      <c r="I321" s="346"/>
    </row>
    <row r="322" spans="1:9" s="12" customFormat="1" ht="12.75" customHeight="1" thickBot="1" x14ac:dyDescent="0.25">
      <c r="A322" s="408" t="s">
        <v>680</v>
      </c>
      <c r="B322" s="520" t="s">
        <v>709</v>
      </c>
      <c r="C322" s="521"/>
      <c r="D322" s="521"/>
      <c r="E322" s="521"/>
      <c r="F322" s="521"/>
      <c r="G322" s="522"/>
      <c r="H322" s="410">
        <f>SUM(H323:H324)</f>
        <v>1</v>
      </c>
      <c r="I322" s="444" t="s">
        <v>8</v>
      </c>
    </row>
    <row r="323" spans="1:9" s="11" customFormat="1" x14ac:dyDescent="0.2">
      <c r="A323" s="615"/>
      <c r="B323" s="166"/>
      <c r="C323" s="173"/>
      <c r="D323" s="344"/>
      <c r="E323" s="344"/>
      <c r="F323" s="345"/>
      <c r="G323" s="338"/>
      <c r="H323" s="340"/>
      <c r="I323" s="346"/>
    </row>
    <row r="324" spans="1:9" s="11" customFormat="1" x14ac:dyDescent="0.2">
      <c r="A324" s="615"/>
      <c r="B324" s="578" t="s">
        <v>534</v>
      </c>
      <c r="C324" s="167">
        <v>1</v>
      </c>
      <c r="D324" s="344"/>
      <c r="E324" s="344"/>
      <c r="F324" s="345"/>
      <c r="G324" s="338">
        <v>1</v>
      </c>
      <c r="H324" s="340">
        <f>G324*C324</f>
        <v>1</v>
      </c>
      <c r="I324" s="341" t="s">
        <v>8</v>
      </c>
    </row>
    <row r="325" spans="1:9" s="11" customFormat="1" ht="13.5" thickBot="1" x14ac:dyDescent="0.25">
      <c r="A325" s="615"/>
      <c r="B325" s="174"/>
      <c r="C325" s="175"/>
      <c r="D325" s="344"/>
      <c r="E325" s="344"/>
      <c r="F325" s="345"/>
      <c r="G325" s="338"/>
      <c r="H325" s="340"/>
      <c r="I325" s="346"/>
    </row>
    <row r="326" spans="1:9" s="12" customFormat="1" ht="12.75" customHeight="1" thickBot="1" x14ac:dyDescent="0.25">
      <c r="A326" s="408" t="s">
        <v>681</v>
      </c>
      <c r="B326" s="520" t="s">
        <v>710</v>
      </c>
      <c r="C326" s="521"/>
      <c r="D326" s="521"/>
      <c r="E326" s="521"/>
      <c r="F326" s="521"/>
      <c r="G326" s="522"/>
      <c r="H326" s="410">
        <f>SUM(H327:H328)</f>
        <v>10</v>
      </c>
      <c r="I326" s="444" t="s">
        <v>8</v>
      </c>
    </row>
    <row r="327" spans="1:9" s="11" customFormat="1" x14ac:dyDescent="0.2">
      <c r="A327" s="615"/>
      <c r="B327" s="166"/>
      <c r="C327" s="173"/>
      <c r="D327" s="344"/>
      <c r="E327" s="344"/>
      <c r="F327" s="345"/>
      <c r="G327" s="338"/>
      <c r="H327" s="340"/>
      <c r="I327" s="346"/>
    </row>
    <row r="328" spans="1:9" s="11" customFormat="1" x14ac:dyDescent="0.2">
      <c r="A328" s="615"/>
      <c r="B328" s="578" t="s">
        <v>534</v>
      </c>
      <c r="C328" s="167">
        <v>10</v>
      </c>
      <c r="D328" s="344"/>
      <c r="E328" s="344"/>
      <c r="F328" s="345"/>
      <c r="G328" s="338">
        <v>1</v>
      </c>
      <c r="H328" s="340">
        <f>G328*C328</f>
        <v>10</v>
      </c>
      <c r="I328" s="341" t="s">
        <v>8</v>
      </c>
    </row>
    <row r="329" spans="1:9" s="11" customFormat="1" ht="13.5" thickBot="1" x14ac:dyDescent="0.25">
      <c r="A329" s="615"/>
      <c r="B329" s="174"/>
      <c r="C329" s="175"/>
      <c r="D329" s="344"/>
      <c r="E329" s="344"/>
      <c r="F329" s="345"/>
      <c r="G329" s="338"/>
      <c r="H329" s="340"/>
      <c r="I329" s="346"/>
    </row>
    <row r="330" spans="1:9" s="12" customFormat="1" ht="12.75" customHeight="1" thickBot="1" x14ac:dyDescent="0.25">
      <c r="A330" s="408" t="s">
        <v>682</v>
      </c>
      <c r="B330" s="520" t="s">
        <v>711</v>
      </c>
      <c r="C330" s="521"/>
      <c r="D330" s="521"/>
      <c r="E330" s="521"/>
      <c r="F330" s="521"/>
      <c r="G330" s="522"/>
      <c r="H330" s="410">
        <f>SUM(H331:H332)</f>
        <v>3</v>
      </c>
      <c r="I330" s="444" t="s">
        <v>8</v>
      </c>
    </row>
    <row r="331" spans="1:9" s="11" customFormat="1" x14ac:dyDescent="0.2">
      <c r="A331" s="615"/>
      <c r="B331" s="166"/>
      <c r="C331" s="173"/>
      <c r="D331" s="344"/>
      <c r="E331" s="344"/>
      <c r="F331" s="345"/>
      <c r="G331" s="338"/>
      <c r="H331" s="340"/>
      <c r="I331" s="346"/>
    </row>
    <row r="332" spans="1:9" s="11" customFormat="1" x14ac:dyDescent="0.2">
      <c r="A332" s="615"/>
      <c r="B332" s="578" t="s">
        <v>534</v>
      </c>
      <c r="C332" s="167">
        <v>3</v>
      </c>
      <c r="D332" s="344"/>
      <c r="E332" s="344"/>
      <c r="F332" s="345"/>
      <c r="G332" s="338">
        <v>1</v>
      </c>
      <c r="H332" s="340">
        <f>G332*C332</f>
        <v>3</v>
      </c>
      <c r="I332" s="341" t="s">
        <v>8</v>
      </c>
    </row>
    <row r="333" spans="1:9" s="11" customFormat="1" ht="13.5" thickBot="1" x14ac:dyDescent="0.25">
      <c r="A333" s="615"/>
      <c r="B333" s="174"/>
      <c r="C333" s="175"/>
      <c r="D333" s="344"/>
      <c r="E333" s="344"/>
      <c r="F333" s="345"/>
      <c r="G333" s="338"/>
      <c r="H333" s="340"/>
      <c r="I333" s="346"/>
    </row>
    <row r="334" spans="1:9" s="12" customFormat="1" ht="12.75" customHeight="1" thickBot="1" x14ac:dyDescent="0.25">
      <c r="A334" s="408" t="s">
        <v>683</v>
      </c>
      <c r="B334" s="520" t="s">
        <v>712</v>
      </c>
      <c r="C334" s="521"/>
      <c r="D334" s="521"/>
      <c r="E334" s="521"/>
      <c r="F334" s="521"/>
      <c r="G334" s="522"/>
      <c r="H334" s="410">
        <f>SUM(H335:H336)</f>
        <v>1</v>
      </c>
      <c r="I334" s="444" t="s">
        <v>8</v>
      </c>
    </row>
    <row r="335" spans="1:9" s="11" customFormat="1" x14ac:dyDescent="0.2">
      <c r="A335" s="617"/>
      <c r="B335" s="166"/>
      <c r="C335" s="173"/>
      <c r="D335" s="344"/>
      <c r="E335" s="344"/>
      <c r="F335" s="345"/>
      <c r="G335" s="338"/>
      <c r="H335" s="340"/>
      <c r="I335" s="346"/>
    </row>
    <row r="336" spans="1:9" s="11" customFormat="1" x14ac:dyDescent="0.2">
      <c r="A336" s="616"/>
      <c r="B336" s="578" t="s">
        <v>534</v>
      </c>
      <c r="C336" s="167">
        <v>1</v>
      </c>
      <c r="D336" s="344"/>
      <c r="E336" s="344"/>
      <c r="F336" s="345"/>
      <c r="G336" s="338">
        <v>1</v>
      </c>
      <c r="H336" s="340">
        <f>G336*C336</f>
        <v>1</v>
      </c>
      <c r="I336" s="341" t="s">
        <v>8</v>
      </c>
    </row>
    <row r="337" spans="1:9" s="11" customFormat="1" ht="13.5" thickBot="1" x14ac:dyDescent="0.25">
      <c r="A337" s="616"/>
      <c r="B337" s="174"/>
      <c r="C337" s="175"/>
      <c r="D337" s="344"/>
      <c r="E337" s="344"/>
      <c r="F337" s="345"/>
      <c r="G337" s="338"/>
      <c r="H337" s="340"/>
      <c r="I337" s="346"/>
    </row>
    <row r="338" spans="1:9" s="12" customFormat="1" ht="12.75" customHeight="1" thickBot="1" x14ac:dyDescent="0.25">
      <c r="A338" s="408" t="s">
        <v>684</v>
      </c>
      <c r="B338" s="520" t="s">
        <v>713</v>
      </c>
      <c r="C338" s="521"/>
      <c r="D338" s="521"/>
      <c r="E338" s="521"/>
      <c r="F338" s="521"/>
      <c r="G338" s="522"/>
      <c r="H338" s="410">
        <f>SUM(H339:H340)</f>
        <v>2</v>
      </c>
      <c r="I338" s="444" t="s">
        <v>8</v>
      </c>
    </row>
    <row r="339" spans="1:9" s="11" customFormat="1" x14ac:dyDescent="0.2">
      <c r="A339" s="615"/>
      <c r="B339" s="166"/>
      <c r="C339" s="167"/>
      <c r="D339" s="344"/>
      <c r="E339" s="344"/>
      <c r="F339" s="345"/>
      <c r="G339" s="338"/>
      <c r="H339" s="340"/>
      <c r="I339" s="346"/>
    </row>
    <row r="340" spans="1:9" s="11" customFormat="1" x14ac:dyDescent="0.2">
      <c r="A340" s="615"/>
      <c r="B340" s="578" t="s">
        <v>534</v>
      </c>
      <c r="C340" s="167">
        <v>2</v>
      </c>
      <c r="D340" s="344"/>
      <c r="E340" s="344"/>
      <c r="F340" s="345"/>
      <c r="G340" s="338">
        <v>1</v>
      </c>
      <c r="H340" s="340">
        <f>G340*C340</f>
        <v>2</v>
      </c>
      <c r="I340" s="341" t="s">
        <v>8</v>
      </c>
    </row>
    <row r="341" spans="1:9" s="11" customFormat="1" ht="13.5" thickBot="1" x14ac:dyDescent="0.25">
      <c r="A341" s="615"/>
      <c r="B341" s="174"/>
      <c r="C341" s="175"/>
      <c r="D341" s="344"/>
      <c r="E341" s="344"/>
      <c r="F341" s="345"/>
      <c r="G341" s="338"/>
      <c r="H341" s="340"/>
      <c r="I341" s="346"/>
    </row>
    <row r="342" spans="1:9" s="11" customFormat="1" ht="13.5" thickBot="1" x14ac:dyDescent="0.25">
      <c r="A342" s="613" t="s">
        <v>574</v>
      </c>
      <c r="B342" s="708" t="s">
        <v>543</v>
      </c>
      <c r="C342" s="709"/>
      <c r="D342" s="709"/>
      <c r="E342" s="709"/>
      <c r="F342" s="709"/>
      <c r="G342" s="709"/>
      <c r="H342" s="709"/>
      <c r="I342" s="710"/>
    </row>
    <row r="343" spans="1:9" s="12" customFormat="1" ht="12.75" customHeight="1" thickBot="1" x14ac:dyDescent="0.25">
      <c r="A343" s="408" t="s">
        <v>575</v>
      </c>
      <c r="B343" s="520" t="s">
        <v>714</v>
      </c>
      <c r="C343" s="521"/>
      <c r="D343" s="521"/>
      <c r="E343" s="521"/>
      <c r="F343" s="521"/>
      <c r="G343" s="522"/>
      <c r="H343" s="410">
        <f>SUM(H344:H345)</f>
        <v>1</v>
      </c>
      <c r="I343" s="444" t="s">
        <v>8</v>
      </c>
    </row>
    <row r="344" spans="1:9" s="11" customFormat="1" ht="12.6" customHeight="1" x14ac:dyDescent="0.2">
      <c r="A344" s="615"/>
      <c r="B344" s="166"/>
      <c r="C344" s="173"/>
      <c r="D344" s="344"/>
      <c r="E344" s="344"/>
      <c r="F344" s="345"/>
      <c r="G344" s="338"/>
      <c r="H344" s="340"/>
      <c r="I344" s="346"/>
    </row>
    <row r="345" spans="1:9" s="11" customFormat="1" ht="12.6" customHeight="1" x14ac:dyDescent="0.2">
      <c r="A345" s="615"/>
      <c r="B345" s="578" t="s">
        <v>534</v>
      </c>
      <c r="C345" s="167">
        <v>1</v>
      </c>
      <c r="D345" s="344"/>
      <c r="E345" s="344"/>
      <c r="F345" s="345"/>
      <c r="G345" s="338">
        <v>1</v>
      </c>
      <c r="H345" s="340">
        <f>G345*C345</f>
        <v>1</v>
      </c>
      <c r="I345" s="341" t="s">
        <v>8</v>
      </c>
    </row>
    <row r="346" spans="1:9" s="11" customFormat="1" ht="12.6" customHeight="1" thickBot="1" x14ac:dyDescent="0.25">
      <c r="A346" s="615"/>
      <c r="B346" s="174"/>
      <c r="C346" s="175"/>
      <c r="D346" s="344"/>
      <c r="E346" s="344"/>
      <c r="F346" s="345"/>
      <c r="G346" s="338"/>
      <c r="H346" s="340"/>
      <c r="I346" s="346"/>
    </row>
    <row r="347" spans="1:9" s="11" customFormat="1" ht="13.5" thickBot="1" x14ac:dyDescent="0.25">
      <c r="A347" s="613" t="s">
        <v>576</v>
      </c>
      <c r="B347" s="708" t="s">
        <v>544</v>
      </c>
      <c r="C347" s="709"/>
      <c r="D347" s="709"/>
      <c r="E347" s="709"/>
      <c r="F347" s="709"/>
      <c r="G347" s="709"/>
      <c r="H347" s="709"/>
      <c r="I347" s="710"/>
    </row>
    <row r="348" spans="1:9" s="12" customFormat="1" ht="12.75" customHeight="1" thickBot="1" x14ac:dyDescent="0.25">
      <c r="A348" s="408" t="s">
        <v>577</v>
      </c>
      <c r="B348" s="520" t="s">
        <v>715</v>
      </c>
      <c r="C348" s="521"/>
      <c r="D348" s="521"/>
      <c r="E348" s="521"/>
      <c r="F348" s="521"/>
      <c r="G348" s="522"/>
      <c r="H348" s="410">
        <f>SUM(H349:H350)</f>
        <v>1</v>
      </c>
      <c r="I348" s="444" t="s">
        <v>8</v>
      </c>
    </row>
    <row r="349" spans="1:9" s="11" customFormat="1" ht="12.6" customHeight="1" x14ac:dyDescent="0.2">
      <c r="A349" s="615"/>
      <c r="B349" s="166"/>
      <c r="C349" s="167"/>
      <c r="D349" s="344"/>
      <c r="E349" s="344"/>
      <c r="F349" s="345"/>
      <c r="G349" s="338"/>
      <c r="H349" s="340"/>
      <c r="I349" s="346"/>
    </row>
    <row r="350" spans="1:9" s="11" customFormat="1" ht="12.6" customHeight="1" x14ac:dyDescent="0.2">
      <c r="A350" s="615"/>
      <c r="B350" s="578" t="s">
        <v>545</v>
      </c>
      <c r="C350" s="167">
        <v>1</v>
      </c>
      <c r="D350" s="344"/>
      <c r="E350" s="344"/>
      <c r="F350" s="345"/>
      <c r="G350" s="338">
        <v>1</v>
      </c>
      <c r="H350" s="340">
        <f>G350*C350</f>
        <v>1</v>
      </c>
      <c r="I350" s="341" t="s">
        <v>8</v>
      </c>
    </row>
    <row r="351" spans="1:9" s="11" customFormat="1" ht="12.6" customHeight="1" thickBot="1" x14ac:dyDescent="0.25">
      <c r="A351" s="335"/>
      <c r="B351" s="342"/>
      <c r="C351" s="343"/>
      <c r="D351" s="344"/>
      <c r="E351" s="344"/>
      <c r="F351" s="345"/>
      <c r="G351" s="338"/>
      <c r="H351" s="340"/>
      <c r="I351" s="346"/>
    </row>
    <row r="352" spans="1:9" s="12" customFormat="1" ht="12.75" customHeight="1" thickBot="1" x14ac:dyDescent="0.25">
      <c r="A352" s="408" t="s">
        <v>578</v>
      </c>
      <c r="B352" s="520" t="s">
        <v>716</v>
      </c>
      <c r="C352" s="521"/>
      <c r="D352" s="521"/>
      <c r="E352" s="521"/>
      <c r="F352" s="521"/>
      <c r="G352" s="522"/>
      <c r="H352" s="410">
        <f>SUM(H353:H354)</f>
        <v>1</v>
      </c>
      <c r="I352" s="444" t="s">
        <v>8</v>
      </c>
    </row>
    <row r="353" spans="1:9" s="11" customFormat="1" ht="12.6" customHeight="1" x14ac:dyDescent="0.2">
      <c r="A353" s="615"/>
      <c r="B353" s="166"/>
      <c r="C353" s="167"/>
      <c r="D353" s="344"/>
      <c r="E353" s="344"/>
      <c r="F353" s="345"/>
      <c r="G353" s="338"/>
      <c r="H353" s="340"/>
      <c r="I353" s="346"/>
    </row>
    <row r="354" spans="1:9" s="11" customFormat="1" ht="12.6" customHeight="1" x14ac:dyDescent="0.2">
      <c r="A354" s="615"/>
      <c r="B354" s="578" t="s">
        <v>545</v>
      </c>
      <c r="C354" s="167">
        <v>1</v>
      </c>
      <c r="D354" s="344"/>
      <c r="E354" s="344"/>
      <c r="F354" s="345"/>
      <c r="G354" s="338">
        <v>1</v>
      </c>
      <c r="H354" s="340">
        <f>G354*C354</f>
        <v>1</v>
      </c>
      <c r="I354" s="341" t="s">
        <v>8</v>
      </c>
    </row>
    <row r="355" spans="1:9" s="11" customFormat="1" ht="12.6" customHeight="1" thickBot="1" x14ac:dyDescent="0.25">
      <c r="A355" s="335"/>
      <c r="B355" s="342"/>
      <c r="C355" s="343"/>
      <c r="D355" s="344"/>
      <c r="E355" s="344"/>
      <c r="F355" s="345"/>
      <c r="G355" s="338"/>
      <c r="H355" s="340"/>
      <c r="I355" s="346"/>
    </row>
    <row r="356" spans="1:9" s="11" customFormat="1" ht="13.5" thickBot="1" x14ac:dyDescent="0.25">
      <c r="A356" s="613" t="s">
        <v>579</v>
      </c>
      <c r="B356" s="708" t="s">
        <v>546</v>
      </c>
      <c r="C356" s="709"/>
      <c r="D356" s="709"/>
      <c r="E356" s="709"/>
      <c r="F356" s="709"/>
      <c r="G356" s="709"/>
      <c r="H356" s="709"/>
      <c r="I356" s="710"/>
    </row>
    <row r="357" spans="1:9" s="12" customFormat="1" ht="12.75" customHeight="1" thickBot="1" x14ac:dyDescent="0.25">
      <c r="A357" s="408" t="s">
        <v>580</v>
      </c>
      <c r="B357" s="520" t="s">
        <v>717</v>
      </c>
      <c r="C357" s="521"/>
      <c r="D357" s="521"/>
      <c r="E357" s="521"/>
      <c r="F357" s="521"/>
      <c r="G357" s="522"/>
      <c r="H357" s="410">
        <f>SUM(H358:H359)</f>
        <v>3</v>
      </c>
      <c r="I357" s="444" t="s">
        <v>557</v>
      </c>
    </row>
    <row r="358" spans="1:9" s="11" customFormat="1" ht="12.6" customHeight="1" x14ac:dyDescent="0.2">
      <c r="A358" s="616"/>
      <c r="B358" s="176"/>
      <c r="C358" s="177"/>
      <c r="D358" s="344"/>
      <c r="E358" s="344"/>
      <c r="F358" s="345"/>
      <c r="G358" s="338"/>
      <c r="H358" s="340"/>
      <c r="I358" s="346"/>
    </row>
    <row r="359" spans="1:9" s="11" customFormat="1" ht="12.6" customHeight="1" x14ac:dyDescent="0.2">
      <c r="A359" s="617"/>
      <c r="B359" s="578" t="s">
        <v>535</v>
      </c>
      <c r="C359" s="167">
        <v>3</v>
      </c>
      <c r="D359" s="344"/>
      <c r="E359" s="344"/>
      <c r="F359" s="345"/>
      <c r="G359" s="338">
        <v>1</v>
      </c>
      <c r="H359" s="340">
        <f>G359*C359</f>
        <v>3</v>
      </c>
      <c r="I359" s="341" t="s">
        <v>557</v>
      </c>
    </row>
    <row r="360" spans="1:9" s="11" customFormat="1" ht="12.6" customHeight="1" thickBot="1" x14ac:dyDescent="0.25">
      <c r="A360" s="617"/>
      <c r="B360" s="174"/>
      <c r="C360" s="175"/>
      <c r="D360" s="344"/>
      <c r="E360" s="344"/>
      <c r="F360" s="345"/>
      <c r="G360" s="338"/>
      <c r="H360" s="340"/>
      <c r="I360" s="346"/>
    </row>
    <row r="361" spans="1:9" s="12" customFormat="1" ht="12.75" customHeight="1" thickBot="1" x14ac:dyDescent="0.25">
      <c r="A361" s="408" t="s">
        <v>581</v>
      </c>
      <c r="B361" s="520" t="s">
        <v>718</v>
      </c>
      <c r="C361" s="521"/>
      <c r="D361" s="521"/>
      <c r="E361" s="521"/>
      <c r="F361" s="521"/>
      <c r="G361" s="522"/>
      <c r="H361" s="410">
        <f>SUM(H362:H365)</f>
        <v>5</v>
      </c>
      <c r="I361" s="444" t="s">
        <v>557</v>
      </c>
    </row>
    <row r="362" spans="1:9" s="11" customFormat="1" ht="12.6" customHeight="1" x14ac:dyDescent="0.2">
      <c r="A362" s="616"/>
      <c r="B362" s="176"/>
      <c r="C362" s="177"/>
      <c r="D362" s="344"/>
      <c r="E362" s="344"/>
      <c r="F362" s="345"/>
      <c r="G362" s="338"/>
      <c r="H362" s="340"/>
      <c r="I362" s="346"/>
    </row>
    <row r="363" spans="1:9" s="11" customFormat="1" ht="12.6" customHeight="1" x14ac:dyDescent="0.2">
      <c r="A363" s="617"/>
      <c r="B363" s="578" t="s">
        <v>536</v>
      </c>
      <c r="C363" s="167">
        <v>1</v>
      </c>
      <c r="D363" s="344"/>
      <c r="E363" s="344"/>
      <c r="F363" s="345"/>
      <c r="G363" s="338">
        <v>1</v>
      </c>
      <c r="H363" s="340">
        <f>G363*C363</f>
        <v>1</v>
      </c>
      <c r="I363" s="341" t="s">
        <v>557</v>
      </c>
    </row>
    <row r="364" spans="1:9" s="11" customFormat="1" ht="12.6" customHeight="1" x14ac:dyDescent="0.2">
      <c r="A364" s="617"/>
      <c r="B364" s="578" t="s">
        <v>537</v>
      </c>
      <c r="C364" s="167">
        <v>1</v>
      </c>
      <c r="D364" s="344"/>
      <c r="E364" s="344"/>
      <c r="F364" s="345"/>
      <c r="G364" s="338">
        <v>1</v>
      </c>
      <c r="H364" s="340">
        <f>G364*C364</f>
        <v>1</v>
      </c>
      <c r="I364" s="341" t="s">
        <v>557</v>
      </c>
    </row>
    <row r="365" spans="1:9" s="11" customFormat="1" ht="12.6" customHeight="1" x14ac:dyDescent="0.2">
      <c r="A365" s="617"/>
      <c r="B365" s="578" t="s">
        <v>538</v>
      </c>
      <c r="C365" s="167">
        <v>3</v>
      </c>
      <c r="D365" s="344"/>
      <c r="E365" s="344"/>
      <c r="F365" s="345"/>
      <c r="G365" s="338">
        <v>1</v>
      </c>
      <c r="H365" s="340">
        <f>G365*C365</f>
        <v>3</v>
      </c>
      <c r="I365" s="341" t="s">
        <v>557</v>
      </c>
    </row>
    <row r="366" spans="1:9" s="11" customFormat="1" ht="12.6" customHeight="1" thickBot="1" x14ac:dyDescent="0.25">
      <c r="A366" s="617"/>
      <c r="B366" s="168"/>
      <c r="C366" s="169"/>
      <c r="D366" s="348"/>
      <c r="E366" s="348"/>
      <c r="F366" s="349"/>
      <c r="G366" s="348"/>
      <c r="H366" s="350"/>
      <c r="I366" s="346"/>
    </row>
    <row r="367" spans="1:9" s="11" customFormat="1" ht="13.5" thickBot="1" x14ac:dyDescent="0.25">
      <c r="A367" s="613" t="s">
        <v>582</v>
      </c>
      <c r="B367" s="708" t="s">
        <v>547</v>
      </c>
      <c r="C367" s="709"/>
      <c r="D367" s="709"/>
      <c r="E367" s="709"/>
      <c r="F367" s="709"/>
      <c r="G367" s="709"/>
      <c r="H367" s="709"/>
      <c r="I367" s="710"/>
    </row>
    <row r="368" spans="1:9" s="12" customFormat="1" ht="12.75" customHeight="1" thickBot="1" x14ac:dyDescent="0.25">
      <c r="A368" s="408" t="s">
        <v>583</v>
      </c>
      <c r="B368" s="520" t="s">
        <v>719</v>
      </c>
      <c r="C368" s="521"/>
      <c r="D368" s="521"/>
      <c r="E368" s="521"/>
      <c r="F368" s="521"/>
      <c r="G368" s="522"/>
      <c r="H368" s="410">
        <f>SUM(H369:H370)</f>
        <v>8</v>
      </c>
      <c r="I368" s="444" t="s">
        <v>9</v>
      </c>
    </row>
    <row r="369" spans="1:9" s="11" customFormat="1" ht="12.6" customHeight="1" x14ac:dyDescent="0.2">
      <c r="A369" s="615"/>
      <c r="B369" s="578" t="s">
        <v>534</v>
      </c>
      <c r="C369" s="173"/>
      <c r="D369" s="344"/>
      <c r="E369" s="344"/>
      <c r="F369" s="345"/>
      <c r="G369" s="338"/>
      <c r="H369" s="340"/>
      <c r="I369" s="346"/>
    </row>
    <row r="370" spans="1:9" s="11" customFormat="1" ht="12.6" customHeight="1" x14ac:dyDescent="0.2">
      <c r="A370" s="615"/>
      <c r="B370" s="579" t="s">
        <v>535</v>
      </c>
      <c r="C370" s="213">
        <v>1</v>
      </c>
      <c r="D370" s="213">
        <v>8</v>
      </c>
      <c r="E370" s="344"/>
      <c r="F370" s="345"/>
      <c r="G370" s="338">
        <f>PRODUCT(D370:F370)</f>
        <v>8</v>
      </c>
      <c r="H370" s="340">
        <f>G370*C370</f>
        <v>8</v>
      </c>
      <c r="I370" s="341" t="s">
        <v>9</v>
      </c>
    </row>
    <row r="371" spans="1:9" s="11" customFormat="1" ht="12.6" customHeight="1" thickBot="1" x14ac:dyDescent="0.25">
      <c r="A371" s="615"/>
      <c r="B371" s="174"/>
      <c r="C371" s="175"/>
      <c r="D371" s="344"/>
      <c r="E371" s="344"/>
      <c r="F371" s="345"/>
      <c r="G371" s="338"/>
      <c r="H371" s="340"/>
      <c r="I371" s="346"/>
    </row>
    <row r="372" spans="1:9" s="12" customFormat="1" ht="12.75" customHeight="1" thickBot="1" x14ac:dyDescent="0.25">
      <c r="A372" s="408" t="s">
        <v>685</v>
      </c>
      <c r="B372" s="520" t="s">
        <v>720</v>
      </c>
      <c r="C372" s="521"/>
      <c r="D372" s="521"/>
      <c r="E372" s="521"/>
      <c r="F372" s="521"/>
      <c r="G372" s="522"/>
      <c r="H372" s="410">
        <f>SUM(H373:H376)</f>
        <v>9.0300000000000011</v>
      </c>
      <c r="I372" s="444" t="s">
        <v>9</v>
      </c>
    </row>
    <row r="373" spans="1:9" s="11" customFormat="1" ht="12.6" customHeight="1" x14ac:dyDescent="0.2">
      <c r="A373" s="615"/>
      <c r="B373" s="578" t="s">
        <v>534</v>
      </c>
      <c r="C373" s="173"/>
      <c r="D373" s="344"/>
      <c r="E373" s="344"/>
      <c r="F373" s="345"/>
      <c r="G373" s="338"/>
      <c r="H373" s="340"/>
      <c r="I373" s="346"/>
    </row>
    <row r="374" spans="1:9" s="11" customFormat="1" ht="12.6" customHeight="1" x14ac:dyDescent="0.2">
      <c r="A374" s="615"/>
      <c r="B374" s="579" t="s">
        <v>536</v>
      </c>
      <c r="C374" s="213">
        <v>1</v>
      </c>
      <c r="D374" s="213">
        <v>1.39</v>
      </c>
      <c r="E374" s="344"/>
      <c r="F374" s="345"/>
      <c r="G374" s="338">
        <f>PRODUCT(D374:F374)</f>
        <v>1.39</v>
      </c>
      <c r="H374" s="340">
        <f>G374*C374</f>
        <v>1.39</v>
      </c>
      <c r="I374" s="341" t="s">
        <v>9</v>
      </c>
    </row>
    <row r="375" spans="1:9" s="11" customFormat="1" ht="12.6" customHeight="1" x14ac:dyDescent="0.2">
      <c r="A375" s="615"/>
      <c r="B375" s="579" t="s">
        <v>537</v>
      </c>
      <c r="C375" s="213">
        <v>1</v>
      </c>
      <c r="D375" s="213">
        <v>2.95</v>
      </c>
      <c r="E375" s="344"/>
      <c r="F375" s="345"/>
      <c r="G375" s="338">
        <f>PRODUCT(D375:F375)</f>
        <v>2.95</v>
      </c>
      <c r="H375" s="340">
        <f>G375*C375</f>
        <v>2.95</v>
      </c>
      <c r="I375" s="341" t="s">
        <v>9</v>
      </c>
    </row>
    <row r="376" spans="1:9" s="11" customFormat="1" ht="12.6" customHeight="1" x14ac:dyDescent="0.2">
      <c r="A376" s="615"/>
      <c r="B376" s="579" t="s">
        <v>538</v>
      </c>
      <c r="C376" s="213">
        <v>1</v>
      </c>
      <c r="D376" s="213">
        <v>4.6900000000000004</v>
      </c>
      <c r="E376" s="344"/>
      <c r="F376" s="345"/>
      <c r="G376" s="338">
        <f>PRODUCT(D376:F376)</f>
        <v>4.6900000000000004</v>
      </c>
      <c r="H376" s="340">
        <f>G376*C376</f>
        <v>4.6900000000000004</v>
      </c>
      <c r="I376" s="341" t="s">
        <v>9</v>
      </c>
    </row>
    <row r="377" spans="1:9" s="11" customFormat="1" ht="12.6" customHeight="1" thickBot="1" x14ac:dyDescent="0.25">
      <c r="A377" s="615"/>
      <c r="B377" s="174"/>
      <c r="C377" s="175"/>
      <c r="D377" s="344"/>
      <c r="E377" s="344"/>
      <c r="F377" s="345"/>
      <c r="G377" s="338"/>
      <c r="H377" s="340"/>
      <c r="I377" s="346"/>
    </row>
    <row r="378" spans="1:9" s="11" customFormat="1" ht="13.5" thickBot="1" x14ac:dyDescent="0.25">
      <c r="A378" s="613" t="s">
        <v>584</v>
      </c>
      <c r="B378" s="708" t="s">
        <v>548</v>
      </c>
      <c r="C378" s="709"/>
      <c r="D378" s="709"/>
      <c r="E378" s="709"/>
      <c r="F378" s="709"/>
      <c r="G378" s="709"/>
      <c r="H378" s="709"/>
      <c r="I378" s="710"/>
    </row>
    <row r="379" spans="1:9" s="12" customFormat="1" ht="12.75" customHeight="1" thickBot="1" x14ac:dyDescent="0.25">
      <c r="A379" s="408" t="s">
        <v>585</v>
      </c>
      <c r="B379" s="520" t="s">
        <v>719</v>
      </c>
      <c r="C379" s="521"/>
      <c r="D379" s="521"/>
      <c r="E379" s="521"/>
      <c r="F379" s="521"/>
      <c r="G379" s="522"/>
      <c r="H379" s="410">
        <f>SUM(H380:H381)</f>
        <v>6.26</v>
      </c>
      <c r="I379" s="444" t="s">
        <v>9</v>
      </c>
    </row>
    <row r="380" spans="1:9" s="11" customFormat="1" x14ac:dyDescent="0.2">
      <c r="A380" s="614"/>
      <c r="B380" s="178"/>
      <c r="C380" s="179"/>
      <c r="D380" s="344"/>
      <c r="E380" s="344"/>
      <c r="F380" s="345"/>
      <c r="G380" s="338"/>
      <c r="H380" s="340"/>
      <c r="I380" s="346"/>
    </row>
    <row r="381" spans="1:9" s="11" customFormat="1" x14ac:dyDescent="0.2">
      <c r="A381" s="614"/>
      <c r="B381" s="577" t="s">
        <v>534</v>
      </c>
      <c r="C381" s="159">
        <v>1</v>
      </c>
      <c r="D381" s="159">
        <v>6.26</v>
      </c>
      <c r="E381" s="344"/>
      <c r="F381" s="345"/>
      <c r="G381" s="338">
        <f>PRODUCT(D381:F381)</f>
        <v>6.26</v>
      </c>
      <c r="H381" s="340">
        <f>G381*C381</f>
        <v>6.26</v>
      </c>
      <c r="I381" s="341" t="s">
        <v>9</v>
      </c>
    </row>
    <row r="382" spans="1:9" s="11" customFormat="1" ht="13.5" thickBot="1" x14ac:dyDescent="0.25">
      <c r="A382" s="614"/>
      <c r="B382" s="180"/>
      <c r="C382" s="181"/>
      <c r="D382" s="344"/>
      <c r="E382" s="344"/>
      <c r="F382" s="345"/>
      <c r="G382" s="338"/>
      <c r="H382" s="340"/>
      <c r="I382" s="346"/>
    </row>
    <row r="383" spans="1:9" s="11" customFormat="1" ht="13.5" thickBot="1" x14ac:dyDescent="0.25">
      <c r="A383" s="613" t="s">
        <v>595</v>
      </c>
      <c r="B383" s="708" t="s">
        <v>549</v>
      </c>
      <c r="C383" s="709"/>
      <c r="D383" s="709"/>
      <c r="E383" s="709"/>
      <c r="F383" s="709"/>
      <c r="G383" s="709"/>
      <c r="H383" s="709"/>
      <c r="I383" s="710"/>
    </row>
    <row r="384" spans="1:9" s="12" customFormat="1" ht="12.75" customHeight="1" thickBot="1" x14ac:dyDescent="0.25">
      <c r="A384" s="408" t="s">
        <v>596</v>
      </c>
      <c r="B384" s="520" t="s">
        <v>721</v>
      </c>
      <c r="C384" s="521"/>
      <c r="D384" s="521"/>
      <c r="E384" s="521"/>
      <c r="F384" s="521"/>
      <c r="G384" s="522"/>
      <c r="H384" s="410">
        <f>SUM(H385:H386)</f>
        <v>2</v>
      </c>
      <c r="I384" s="444" t="s">
        <v>8</v>
      </c>
    </row>
    <row r="385" spans="1:9" s="11" customFormat="1" x14ac:dyDescent="0.2">
      <c r="A385" s="618"/>
      <c r="B385" s="182"/>
      <c r="C385" s="183"/>
      <c r="D385" s="344"/>
      <c r="E385" s="344"/>
      <c r="F385" s="345"/>
      <c r="G385" s="338"/>
      <c r="H385" s="340"/>
      <c r="I385" s="346"/>
    </row>
    <row r="386" spans="1:9" s="11" customFormat="1" x14ac:dyDescent="0.2">
      <c r="A386" s="618"/>
      <c r="B386" s="579" t="s">
        <v>535</v>
      </c>
      <c r="C386" s="213">
        <v>2</v>
      </c>
      <c r="D386" s="344"/>
      <c r="E386" s="344"/>
      <c r="F386" s="345"/>
      <c r="G386" s="338">
        <v>1</v>
      </c>
      <c r="H386" s="340">
        <f>G386*C386</f>
        <v>2</v>
      </c>
      <c r="I386" s="341" t="s">
        <v>8</v>
      </c>
    </row>
    <row r="387" spans="1:9" s="11" customFormat="1" ht="13.5" thickBot="1" x14ac:dyDescent="0.25">
      <c r="A387" s="618"/>
      <c r="B387" s="578"/>
      <c r="C387" s="175"/>
      <c r="D387" s="344"/>
      <c r="E387" s="344"/>
      <c r="F387" s="345"/>
      <c r="G387" s="338"/>
      <c r="H387" s="340"/>
      <c r="I387" s="346"/>
    </row>
    <row r="388" spans="1:9" s="12" customFormat="1" ht="12.75" customHeight="1" thickBot="1" x14ac:dyDescent="0.25">
      <c r="A388" s="408" t="s">
        <v>686</v>
      </c>
      <c r="B388" s="520" t="s">
        <v>722</v>
      </c>
      <c r="C388" s="521"/>
      <c r="D388" s="521"/>
      <c r="E388" s="521"/>
      <c r="F388" s="521"/>
      <c r="G388" s="522"/>
      <c r="H388" s="410">
        <f>SUM(H389:H391)</f>
        <v>3</v>
      </c>
      <c r="I388" s="444" t="s">
        <v>8</v>
      </c>
    </row>
    <row r="389" spans="1:9" s="11" customFormat="1" x14ac:dyDescent="0.2">
      <c r="A389" s="618"/>
      <c r="B389" s="182"/>
      <c r="C389" s="183"/>
      <c r="D389" s="344"/>
      <c r="E389" s="344"/>
      <c r="F389" s="345"/>
      <c r="G389" s="338"/>
      <c r="H389" s="340"/>
      <c r="I389" s="346"/>
    </row>
    <row r="390" spans="1:9" s="11" customFormat="1" x14ac:dyDescent="0.2">
      <c r="A390" s="618"/>
      <c r="B390" s="579" t="s">
        <v>536</v>
      </c>
      <c r="C390" s="213">
        <v>1</v>
      </c>
      <c r="D390" s="344"/>
      <c r="E390" s="344"/>
      <c r="F390" s="345"/>
      <c r="G390" s="338">
        <v>1</v>
      </c>
      <c r="H390" s="340">
        <f>G390*C390</f>
        <v>1</v>
      </c>
      <c r="I390" s="341" t="s">
        <v>8</v>
      </c>
    </row>
    <row r="391" spans="1:9" s="11" customFormat="1" x14ac:dyDescent="0.2">
      <c r="A391" s="618"/>
      <c r="B391" s="579" t="s">
        <v>537</v>
      </c>
      <c r="C391" s="213">
        <v>2</v>
      </c>
      <c r="D391" s="344"/>
      <c r="E391" s="344"/>
      <c r="F391" s="345"/>
      <c r="G391" s="338">
        <v>1</v>
      </c>
      <c r="H391" s="340">
        <f>G391*C391</f>
        <v>2</v>
      </c>
      <c r="I391" s="341" t="s">
        <v>8</v>
      </c>
    </row>
    <row r="392" spans="1:9" s="11" customFormat="1" ht="13.5" thickBot="1" x14ac:dyDescent="0.25">
      <c r="A392" s="618"/>
      <c r="B392" s="578"/>
      <c r="C392" s="175"/>
      <c r="D392" s="344"/>
      <c r="E392" s="344"/>
      <c r="F392" s="345"/>
      <c r="G392" s="338"/>
      <c r="H392" s="340"/>
      <c r="I392" s="346"/>
    </row>
    <row r="393" spans="1:9" s="12" customFormat="1" ht="12.75" customHeight="1" thickBot="1" x14ac:dyDescent="0.25">
      <c r="A393" s="408" t="s">
        <v>687</v>
      </c>
      <c r="B393" s="520" t="s">
        <v>723</v>
      </c>
      <c r="C393" s="521"/>
      <c r="D393" s="521"/>
      <c r="E393" s="521"/>
      <c r="F393" s="521"/>
      <c r="G393" s="522"/>
      <c r="H393" s="410">
        <f>SUM(H394:H395)</f>
        <v>1</v>
      </c>
      <c r="I393" s="444" t="s">
        <v>8</v>
      </c>
    </row>
    <row r="394" spans="1:9" s="11" customFormat="1" ht="12.6" customHeight="1" x14ac:dyDescent="0.2">
      <c r="A394" s="618"/>
      <c r="B394" s="182"/>
      <c r="C394" s="183"/>
      <c r="D394" s="344"/>
      <c r="E394" s="344"/>
      <c r="F394" s="345"/>
      <c r="G394" s="338"/>
      <c r="H394" s="340"/>
      <c r="I394" s="346"/>
    </row>
    <row r="395" spans="1:9" s="11" customFormat="1" ht="12.6" customHeight="1" x14ac:dyDescent="0.2">
      <c r="A395" s="618"/>
      <c r="B395" s="579" t="s">
        <v>534</v>
      </c>
      <c r="C395" s="213">
        <v>1</v>
      </c>
      <c r="D395" s="344"/>
      <c r="E395" s="344"/>
      <c r="F395" s="345"/>
      <c r="G395" s="338">
        <v>1</v>
      </c>
      <c r="H395" s="340">
        <f>G395*C395</f>
        <v>1</v>
      </c>
      <c r="I395" s="341" t="s">
        <v>8</v>
      </c>
    </row>
    <row r="396" spans="1:9" s="11" customFormat="1" ht="12.6" customHeight="1" thickBot="1" x14ac:dyDescent="0.25">
      <c r="A396" s="618"/>
      <c r="B396" s="174"/>
      <c r="C396" s="175"/>
      <c r="D396" s="344"/>
      <c r="E396" s="344"/>
      <c r="F396" s="345"/>
      <c r="G396" s="338"/>
      <c r="H396" s="340"/>
      <c r="I396" s="346"/>
    </row>
    <row r="397" spans="1:9" s="12" customFormat="1" ht="12.75" customHeight="1" thickBot="1" x14ac:dyDescent="0.25">
      <c r="A397" s="408" t="s">
        <v>688</v>
      </c>
      <c r="B397" s="520" t="s">
        <v>724</v>
      </c>
      <c r="C397" s="521"/>
      <c r="D397" s="521"/>
      <c r="E397" s="521"/>
      <c r="F397" s="521"/>
      <c r="G397" s="522"/>
      <c r="H397" s="410">
        <f>SUM(H398:H400)</f>
        <v>4</v>
      </c>
      <c r="I397" s="444" t="s">
        <v>8</v>
      </c>
    </row>
    <row r="398" spans="1:9" s="11" customFormat="1" ht="12.6" customHeight="1" x14ac:dyDescent="0.2">
      <c r="A398" s="618"/>
      <c r="B398" s="578" t="s">
        <v>534</v>
      </c>
      <c r="C398" s="183"/>
      <c r="D398" s="344"/>
      <c r="E398" s="344"/>
      <c r="F398" s="345"/>
      <c r="G398" s="338"/>
      <c r="H398" s="340"/>
      <c r="I398" s="346"/>
    </row>
    <row r="399" spans="1:9" s="11" customFormat="1" ht="12.6" customHeight="1" x14ac:dyDescent="0.2">
      <c r="A399" s="618"/>
      <c r="B399" s="579" t="s">
        <v>550</v>
      </c>
      <c r="C399" s="213">
        <v>1</v>
      </c>
      <c r="D399" s="344"/>
      <c r="E399" s="344"/>
      <c r="F399" s="345"/>
      <c r="G399" s="338">
        <v>1</v>
      </c>
      <c r="H399" s="340">
        <f>G399*C399</f>
        <v>1</v>
      </c>
      <c r="I399" s="341" t="s">
        <v>8</v>
      </c>
    </row>
    <row r="400" spans="1:9" s="11" customFormat="1" ht="12.6" customHeight="1" x14ac:dyDescent="0.2">
      <c r="A400" s="618"/>
      <c r="B400" s="579" t="s">
        <v>538</v>
      </c>
      <c r="C400" s="213">
        <v>3</v>
      </c>
      <c r="D400" s="344"/>
      <c r="E400" s="344"/>
      <c r="F400" s="345"/>
      <c r="G400" s="338">
        <v>1</v>
      </c>
      <c r="H400" s="340">
        <f>G400*C400</f>
        <v>3</v>
      </c>
      <c r="I400" s="341" t="s">
        <v>8</v>
      </c>
    </row>
    <row r="401" spans="1:9" s="11" customFormat="1" ht="13.5" thickBot="1" x14ac:dyDescent="0.25">
      <c r="A401" s="618"/>
      <c r="B401" s="174"/>
      <c r="C401" s="175"/>
      <c r="D401" s="344"/>
      <c r="E401" s="344"/>
      <c r="F401" s="345"/>
      <c r="G401" s="338"/>
      <c r="H401" s="340"/>
      <c r="I401" s="346"/>
    </row>
    <row r="402" spans="1:9" s="12" customFormat="1" ht="12.75" customHeight="1" thickBot="1" x14ac:dyDescent="0.25">
      <c r="A402" s="408" t="s">
        <v>689</v>
      </c>
      <c r="B402" s="520" t="s">
        <v>725</v>
      </c>
      <c r="C402" s="521"/>
      <c r="D402" s="521"/>
      <c r="E402" s="521"/>
      <c r="F402" s="521"/>
      <c r="G402" s="522"/>
      <c r="H402" s="410">
        <f>SUM(H403:H404)</f>
        <v>1</v>
      </c>
      <c r="I402" s="444" t="s">
        <v>8</v>
      </c>
    </row>
    <row r="403" spans="1:9" s="11" customFormat="1" x14ac:dyDescent="0.2">
      <c r="A403" s="618"/>
      <c r="B403" s="578" t="s">
        <v>534</v>
      </c>
      <c r="C403" s="183"/>
      <c r="D403" s="344"/>
      <c r="E403" s="344"/>
      <c r="F403" s="345"/>
      <c r="G403" s="338"/>
      <c r="H403" s="340"/>
      <c r="I403" s="346"/>
    </row>
    <row r="404" spans="1:9" s="11" customFormat="1" x14ac:dyDescent="0.2">
      <c r="A404" s="618"/>
      <c r="B404" s="579" t="s">
        <v>551</v>
      </c>
      <c r="C404" s="213">
        <v>1</v>
      </c>
      <c r="D404" s="344"/>
      <c r="E404" s="344"/>
      <c r="F404" s="345"/>
      <c r="G404" s="338">
        <v>1</v>
      </c>
      <c r="H404" s="340">
        <f>G404*C404</f>
        <v>1</v>
      </c>
      <c r="I404" s="341" t="s">
        <v>8</v>
      </c>
    </row>
    <row r="405" spans="1:9" s="11" customFormat="1" ht="13.5" thickBot="1" x14ac:dyDescent="0.25">
      <c r="A405" s="618"/>
      <c r="B405" s="174"/>
      <c r="C405" s="175"/>
      <c r="D405" s="344"/>
      <c r="E405" s="344"/>
      <c r="F405" s="345"/>
      <c r="G405" s="338"/>
      <c r="H405" s="340"/>
      <c r="I405" s="346"/>
    </row>
    <row r="406" spans="1:9" s="12" customFormat="1" ht="12.75" customHeight="1" thickBot="1" x14ac:dyDescent="0.25">
      <c r="A406" s="408" t="s">
        <v>690</v>
      </c>
      <c r="B406" s="520" t="s">
        <v>726</v>
      </c>
      <c r="C406" s="521"/>
      <c r="D406" s="521"/>
      <c r="E406" s="521"/>
      <c r="F406" s="521"/>
      <c r="G406" s="522"/>
      <c r="H406" s="410">
        <f>SUM(H407:H408)</f>
        <v>3</v>
      </c>
      <c r="I406" s="444" t="s">
        <v>8</v>
      </c>
    </row>
    <row r="407" spans="1:9" s="11" customFormat="1" ht="12.6" customHeight="1" x14ac:dyDescent="0.2">
      <c r="A407" s="618"/>
      <c r="B407" s="578" t="s">
        <v>534</v>
      </c>
      <c r="C407" s="183"/>
      <c r="D407" s="344"/>
      <c r="E407" s="344"/>
      <c r="F407" s="345"/>
      <c r="G407" s="338"/>
      <c r="H407" s="340"/>
      <c r="I407" s="346"/>
    </row>
    <row r="408" spans="1:9" s="11" customFormat="1" ht="12.6" customHeight="1" x14ac:dyDescent="0.2">
      <c r="A408" s="618"/>
      <c r="B408" s="579" t="s">
        <v>551</v>
      </c>
      <c r="C408" s="213">
        <v>3</v>
      </c>
      <c r="D408" s="344"/>
      <c r="E408" s="344"/>
      <c r="F408" s="345"/>
      <c r="G408" s="338">
        <v>1</v>
      </c>
      <c r="H408" s="340">
        <f>G408*C408</f>
        <v>3</v>
      </c>
      <c r="I408" s="341" t="s">
        <v>8</v>
      </c>
    </row>
    <row r="409" spans="1:9" s="11" customFormat="1" ht="13.5" thickBot="1" x14ac:dyDescent="0.25">
      <c r="A409" s="618"/>
      <c r="B409" s="174"/>
      <c r="C409" s="175"/>
      <c r="D409" s="344"/>
      <c r="E409" s="344"/>
      <c r="F409" s="345"/>
      <c r="G409" s="338"/>
      <c r="H409" s="340"/>
      <c r="I409" s="346"/>
    </row>
    <row r="410" spans="1:9" s="12" customFormat="1" ht="12.75" customHeight="1" thickBot="1" x14ac:dyDescent="0.25">
      <c r="A410" s="408" t="s">
        <v>691</v>
      </c>
      <c r="B410" s="520" t="s">
        <v>727</v>
      </c>
      <c r="C410" s="521"/>
      <c r="D410" s="521"/>
      <c r="E410" s="521"/>
      <c r="F410" s="521"/>
      <c r="G410" s="522"/>
      <c r="H410" s="410">
        <f>SUM(H411:H414)</f>
        <v>5</v>
      </c>
      <c r="I410" s="444" t="s">
        <v>8</v>
      </c>
    </row>
    <row r="411" spans="1:9" s="11" customFormat="1" ht="12.6" customHeight="1" x14ac:dyDescent="0.2">
      <c r="A411" s="618"/>
      <c r="B411" s="578" t="s">
        <v>534</v>
      </c>
      <c r="C411" s="183"/>
      <c r="D411" s="344"/>
      <c r="E411" s="344"/>
      <c r="F411" s="345"/>
      <c r="G411" s="338"/>
      <c r="H411" s="340"/>
      <c r="I411" s="346"/>
    </row>
    <row r="412" spans="1:9" s="11" customFormat="1" ht="12.6" customHeight="1" x14ac:dyDescent="0.2">
      <c r="A412" s="618"/>
      <c r="B412" s="579" t="s">
        <v>552</v>
      </c>
      <c r="C412" s="213">
        <v>1</v>
      </c>
      <c r="D412" s="344"/>
      <c r="E412" s="344"/>
      <c r="F412" s="345"/>
      <c r="G412" s="338">
        <v>1</v>
      </c>
      <c r="H412" s="340">
        <f>G412*C412</f>
        <v>1</v>
      </c>
      <c r="I412" s="341" t="s">
        <v>8</v>
      </c>
    </row>
    <row r="413" spans="1:9" s="11" customFormat="1" ht="12.6" customHeight="1" x14ac:dyDescent="0.2">
      <c r="A413" s="618"/>
      <c r="B413" s="579" t="s">
        <v>553</v>
      </c>
      <c r="C413" s="213">
        <v>1</v>
      </c>
      <c r="D413" s="344"/>
      <c r="E413" s="344"/>
      <c r="F413" s="345"/>
      <c r="G413" s="338">
        <v>1</v>
      </c>
      <c r="H413" s="340">
        <f>G413*C413</f>
        <v>1</v>
      </c>
      <c r="I413" s="341" t="s">
        <v>8</v>
      </c>
    </row>
    <row r="414" spans="1:9" s="11" customFormat="1" ht="12.6" customHeight="1" x14ac:dyDescent="0.2">
      <c r="A414" s="618"/>
      <c r="B414" s="579" t="s">
        <v>538</v>
      </c>
      <c r="C414" s="213">
        <v>3</v>
      </c>
      <c r="D414" s="344"/>
      <c r="E414" s="344"/>
      <c r="F414" s="345"/>
      <c r="G414" s="338">
        <v>1</v>
      </c>
      <c r="H414" s="340">
        <f>G414*C414</f>
        <v>3</v>
      </c>
      <c r="I414" s="341" t="s">
        <v>8</v>
      </c>
    </row>
    <row r="415" spans="1:9" s="11" customFormat="1" ht="12.6" customHeight="1" thickBot="1" x14ac:dyDescent="0.25">
      <c r="A415" s="618"/>
      <c r="B415" s="174"/>
      <c r="C415" s="175"/>
      <c r="D415" s="344"/>
      <c r="E415" s="344"/>
      <c r="F415" s="345"/>
      <c r="G415" s="338"/>
      <c r="H415" s="340"/>
      <c r="I415" s="346"/>
    </row>
    <row r="416" spans="1:9" s="12" customFormat="1" ht="12.75" customHeight="1" thickBot="1" x14ac:dyDescent="0.25">
      <c r="A416" s="408" t="s">
        <v>692</v>
      </c>
      <c r="B416" s="520" t="s">
        <v>728</v>
      </c>
      <c r="C416" s="521"/>
      <c r="D416" s="521"/>
      <c r="E416" s="521"/>
      <c r="F416" s="521"/>
      <c r="G416" s="522"/>
      <c r="H416" s="410">
        <f>SUM(H417:H418)</f>
        <v>1</v>
      </c>
      <c r="I416" s="444" t="s">
        <v>8</v>
      </c>
    </row>
    <row r="417" spans="1:10" s="11" customFormat="1" x14ac:dyDescent="0.2">
      <c r="A417" s="618"/>
      <c r="B417" s="578" t="s">
        <v>534</v>
      </c>
      <c r="C417" s="183"/>
      <c r="D417" s="344"/>
      <c r="E417" s="344"/>
      <c r="F417" s="345"/>
      <c r="G417" s="338"/>
      <c r="H417" s="340"/>
      <c r="I417" s="346"/>
    </row>
    <row r="418" spans="1:10" s="11" customFormat="1" x14ac:dyDescent="0.2">
      <c r="A418" s="618"/>
      <c r="B418" s="579" t="s">
        <v>552</v>
      </c>
      <c r="C418" s="213">
        <v>1</v>
      </c>
      <c r="D418" s="344"/>
      <c r="E418" s="344"/>
      <c r="F418" s="345"/>
      <c r="G418" s="338">
        <v>1</v>
      </c>
      <c r="H418" s="340">
        <f>G418*C418</f>
        <v>1</v>
      </c>
      <c r="I418" s="341" t="s">
        <v>8</v>
      </c>
    </row>
    <row r="419" spans="1:10" s="11" customFormat="1" ht="13.5" thickBot="1" x14ac:dyDescent="0.25">
      <c r="A419" s="618"/>
      <c r="B419" s="174"/>
      <c r="C419" s="175"/>
      <c r="D419" s="344"/>
      <c r="E419" s="344"/>
      <c r="F419" s="345"/>
      <c r="G419" s="338"/>
      <c r="H419" s="340"/>
      <c r="I419" s="346"/>
    </row>
    <row r="420" spans="1:10" s="11" customFormat="1" ht="13.5" thickBot="1" x14ac:dyDescent="0.25">
      <c r="A420" s="613" t="s">
        <v>693</v>
      </c>
      <c r="B420" s="708" t="s">
        <v>554</v>
      </c>
      <c r="C420" s="709"/>
      <c r="D420" s="709"/>
      <c r="E420" s="709"/>
      <c r="F420" s="709"/>
      <c r="G420" s="709"/>
      <c r="H420" s="709"/>
      <c r="I420" s="710"/>
    </row>
    <row r="421" spans="1:10" s="12" customFormat="1" ht="12.75" customHeight="1" thickBot="1" x14ac:dyDescent="0.25">
      <c r="A421" s="408" t="s">
        <v>694</v>
      </c>
      <c r="B421" s="520" t="s">
        <v>729</v>
      </c>
      <c r="C421" s="521"/>
      <c r="D421" s="521"/>
      <c r="E421" s="521"/>
      <c r="F421" s="521"/>
      <c r="G421" s="522"/>
      <c r="H421" s="410">
        <f>SUM(H422:H423)</f>
        <v>1</v>
      </c>
      <c r="I421" s="444" t="s">
        <v>8</v>
      </c>
    </row>
    <row r="422" spans="1:10" s="11" customFormat="1" x14ac:dyDescent="0.2">
      <c r="A422" s="619"/>
      <c r="B422" s="580" t="s">
        <v>555</v>
      </c>
      <c r="C422" s="163"/>
      <c r="D422" s="351"/>
      <c r="E422" s="351"/>
      <c r="F422" s="352"/>
      <c r="G422" s="338"/>
      <c r="H422" s="340"/>
      <c r="I422" s="346"/>
    </row>
    <row r="423" spans="1:10" s="11" customFormat="1" x14ac:dyDescent="0.2">
      <c r="A423" s="618"/>
      <c r="B423" s="579" t="s">
        <v>556</v>
      </c>
      <c r="C423" s="317">
        <v>1</v>
      </c>
      <c r="D423" s="344"/>
      <c r="E423" s="344"/>
      <c r="F423" s="345"/>
      <c r="G423" s="338">
        <v>1</v>
      </c>
      <c r="H423" s="340">
        <f>G423*C423</f>
        <v>1</v>
      </c>
      <c r="I423" s="341" t="s">
        <v>8</v>
      </c>
    </row>
    <row r="424" spans="1:10" s="11" customFormat="1" ht="13.5" thickBot="1" x14ac:dyDescent="0.25">
      <c r="A424" s="353"/>
      <c r="B424" s="354"/>
      <c r="C424" s="355"/>
      <c r="D424" s="348"/>
      <c r="E424" s="348"/>
      <c r="F424" s="356"/>
      <c r="G424" s="357"/>
      <c r="H424" s="358"/>
      <c r="I424" s="359"/>
    </row>
    <row r="425" spans="1:10" s="19" customFormat="1" ht="13.5" customHeight="1" thickBot="1" x14ac:dyDescent="0.25">
      <c r="A425" s="324" t="s">
        <v>90</v>
      </c>
      <c r="B425" s="325" t="s">
        <v>87</v>
      </c>
      <c r="C425" s="326"/>
      <c r="D425" s="360"/>
      <c r="E425" s="360"/>
      <c r="F425" s="361"/>
      <c r="G425" s="361"/>
      <c r="H425" s="362"/>
      <c r="I425" s="363"/>
    </row>
    <row r="426" spans="1:10" s="12" customFormat="1" ht="12.75" customHeight="1" thickBot="1" x14ac:dyDescent="0.25">
      <c r="A426" s="408" t="s">
        <v>91</v>
      </c>
      <c r="B426" s="520" t="s">
        <v>28</v>
      </c>
      <c r="C426" s="521"/>
      <c r="D426" s="521"/>
      <c r="E426" s="521"/>
      <c r="F426" s="521"/>
      <c r="G426" s="522"/>
      <c r="H426" s="410">
        <f>SUM(H428:H869)</f>
        <v>3761.9381900000003</v>
      </c>
      <c r="I426" s="444" t="s">
        <v>1</v>
      </c>
      <c r="J426" s="12">
        <f>SUM(H428:H634)</f>
        <v>1168.8958749999999</v>
      </c>
    </row>
    <row r="427" spans="1:10" s="18" customFormat="1" x14ac:dyDescent="0.2">
      <c r="A427" s="265"/>
      <c r="B427" s="581" t="s">
        <v>236</v>
      </c>
      <c r="C427" s="365"/>
      <c r="D427" s="365"/>
      <c r="E427" s="365"/>
      <c r="F427" s="365"/>
      <c r="G427" s="366"/>
      <c r="H427" s="366"/>
      <c r="I427" s="367"/>
    </row>
    <row r="428" spans="1:10" s="18" customFormat="1" x14ac:dyDescent="0.2">
      <c r="A428" s="265"/>
      <c r="B428" s="571" t="s">
        <v>237</v>
      </c>
      <c r="C428" s="327">
        <v>5</v>
      </c>
      <c r="D428" s="327">
        <v>3.65</v>
      </c>
      <c r="E428" s="327">
        <v>0.15</v>
      </c>
      <c r="F428" s="327">
        <v>1</v>
      </c>
      <c r="G428" s="328">
        <f t="shared" ref="G428:G472" si="4">F428*E428*D428</f>
        <v>0.54749999999999999</v>
      </c>
      <c r="H428" s="328">
        <f t="shared" ref="H428:H472" si="5">G428*C428</f>
        <v>2.7374999999999998</v>
      </c>
      <c r="I428" s="329" t="s">
        <v>1</v>
      </c>
    </row>
    <row r="429" spans="1:10" s="18" customFormat="1" x14ac:dyDescent="0.2">
      <c r="A429" s="265"/>
      <c r="B429" s="571"/>
      <c r="C429" s="327">
        <v>6</v>
      </c>
      <c r="D429" s="327">
        <v>3.35</v>
      </c>
      <c r="E429" s="327">
        <v>0.15</v>
      </c>
      <c r="F429" s="327">
        <v>1</v>
      </c>
      <c r="G429" s="328">
        <f t="shared" si="4"/>
        <v>0.50249999999999995</v>
      </c>
      <c r="H429" s="328">
        <f t="shared" si="5"/>
        <v>3.0149999999999997</v>
      </c>
      <c r="I429" s="329" t="s">
        <v>1</v>
      </c>
    </row>
    <row r="430" spans="1:10" s="18" customFormat="1" x14ac:dyDescent="0.2">
      <c r="A430" s="265"/>
      <c r="B430" s="571"/>
      <c r="C430" s="327">
        <v>1</v>
      </c>
      <c r="D430" s="327">
        <v>3.38</v>
      </c>
      <c r="E430" s="327">
        <v>0.15</v>
      </c>
      <c r="F430" s="327">
        <v>1</v>
      </c>
      <c r="G430" s="328">
        <f t="shared" si="4"/>
        <v>0.50700000000000001</v>
      </c>
      <c r="H430" s="328">
        <f t="shared" si="5"/>
        <v>0.50700000000000001</v>
      </c>
      <c r="I430" s="329" t="s">
        <v>1</v>
      </c>
    </row>
    <row r="431" spans="1:10" s="18" customFormat="1" x14ac:dyDescent="0.2">
      <c r="A431" s="265"/>
      <c r="B431" s="571"/>
      <c r="C431" s="327">
        <v>2</v>
      </c>
      <c r="D431" s="327">
        <v>22.5</v>
      </c>
      <c r="E431" s="327">
        <v>0.25</v>
      </c>
      <c r="F431" s="327">
        <v>0.2</v>
      </c>
      <c r="G431" s="328">
        <f t="shared" si="4"/>
        <v>1.125</v>
      </c>
      <c r="H431" s="328">
        <f t="shared" si="5"/>
        <v>2.25</v>
      </c>
      <c r="I431" s="329" t="s">
        <v>1</v>
      </c>
    </row>
    <row r="432" spans="1:10" s="18" customFormat="1" x14ac:dyDescent="0.2">
      <c r="A432" s="265"/>
      <c r="B432" s="571" t="s">
        <v>238</v>
      </c>
      <c r="C432" s="327">
        <v>5</v>
      </c>
      <c r="D432" s="327">
        <v>3.65</v>
      </c>
      <c r="E432" s="327">
        <v>0.15</v>
      </c>
      <c r="F432" s="327">
        <v>2.2999999999999998</v>
      </c>
      <c r="G432" s="328">
        <f t="shared" si="4"/>
        <v>1.25925</v>
      </c>
      <c r="H432" s="328">
        <f t="shared" si="5"/>
        <v>6.2962499999999997</v>
      </c>
      <c r="I432" s="329" t="s">
        <v>1</v>
      </c>
    </row>
    <row r="433" spans="1:9" s="18" customFormat="1" x14ac:dyDescent="0.2">
      <c r="A433" s="265"/>
      <c r="B433" s="571"/>
      <c r="C433" s="327">
        <v>6</v>
      </c>
      <c r="D433" s="327">
        <v>3.35</v>
      </c>
      <c r="E433" s="327">
        <v>0.15</v>
      </c>
      <c r="F433" s="327">
        <v>2.2999999999999998</v>
      </c>
      <c r="G433" s="328">
        <f t="shared" si="4"/>
        <v>1.1557499999999998</v>
      </c>
      <c r="H433" s="328">
        <f t="shared" si="5"/>
        <v>6.934499999999999</v>
      </c>
      <c r="I433" s="329" t="s">
        <v>1</v>
      </c>
    </row>
    <row r="434" spans="1:9" s="18" customFormat="1" x14ac:dyDescent="0.2">
      <c r="A434" s="265"/>
      <c r="B434" s="571"/>
      <c r="C434" s="327">
        <v>2</v>
      </c>
      <c r="D434" s="327">
        <v>22.5</v>
      </c>
      <c r="E434" s="327">
        <v>0.25</v>
      </c>
      <c r="F434" s="327">
        <v>0.2</v>
      </c>
      <c r="G434" s="328">
        <f t="shared" si="4"/>
        <v>1.125</v>
      </c>
      <c r="H434" s="328">
        <f t="shared" si="5"/>
        <v>2.25</v>
      </c>
      <c r="I434" s="329" t="s">
        <v>1</v>
      </c>
    </row>
    <row r="435" spans="1:9" s="18" customFormat="1" x14ac:dyDescent="0.2">
      <c r="A435" s="265"/>
      <c r="B435" s="571" t="s">
        <v>239</v>
      </c>
      <c r="C435" s="327">
        <v>1</v>
      </c>
      <c r="D435" s="327">
        <v>2.52</v>
      </c>
      <c r="E435" s="327">
        <v>0.15</v>
      </c>
      <c r="F435" s="327">
        <v>2.2999999999999998</v>
      </c>
      <c r="G435" s="328">
        <f t="shared" si="4"/>
        <v>0.86939999999999995</v>
      </c>
      <c r="H435" s="328">
        <f t="shared" si="5"/>
        <v>0.86939999999999995</v>
      </c>
      <c r="I435" s="329" t="s">
        <v>1</v>
      </c>
    </row>
    <row r="436" spans="1:9" s="18" customFormat="1" x14ac:dyDescent="0.2">
      <c r="A436" s="265"/>
      <c r="B436" s="252"/>
      <c r="C436" s="327">
        <v>1</v>
      </c>
      <c r="D436" s="327">
        <v>3.42</v>
      </c>
      <c r="E436" s="327">
        <v>0.15</v>
      </c>
      <c r="F436" s="327">
        <v>2.2999999999999998</v>
      </c>
      <c r="G436" s="328">
        <f t="shared" si="4"/>
        <v>1.1798999999999999</v>
      </c>
      <c r="H436" s="328">
        <f t="shared" si="5"/>
        <v>1.1798999999999999</v>
      </c>
      <c r="I436" s="329" t="s">
        <v>1</v>
      </c>
    </row>
    <row r="437" spans="1:9" s="18" customFormat="1" x14ac:dyDescent="0.2">
      <c r="A437" s="265"/>
      <c r="B437" s="252"/>
      <c r="C437" s="327">
        <v>1</v>
      </c>
      <c r="D437" s="327">
        <f>0.69+1.52</f>
        <v>2.21</v>
      </c>
      <c r="E437" s="327">
        <v>0.15</v>
      </c>
      <c r="F437" s="327">
        <v>2.2999999999999998</v>
      </c>
      <c r="G437" s="328">
        <f t="shared" si="4"/>
        <v>0.76244999999999996</v>
      </c>
      <c r="H437" s="328">
        <f t="shared" si="5"/>
        <v>0.76244999999999996</v>
      </c>
      <c r="I437" s="329" t="s">
        <v>1</v>
      </c>
    </row>
    <row r="438" spans="1:9" s="18" customFormat="1" x14ac:dyDescent="0.2">
      <c r="A438" s="265"/>
      <c r="B438" s="252"/>
      <c r="C438" s="327">
        <v>2</v>
      </c>
      <c r="D438" s="327">
        <v>3.35</v>
      </c>
      <c r="E438" s="327">
        <v>0.15</v>
      </c>
      <c r="F438" s="327">
        <v>2.2999999999999998</v>
      </c>
      <c r="G438" s="328">
        <f t="shared" si="4"/>
        <v>1.1557499999999998</v>
      </c>
      <c r="H438" s="328">
        <f t="shared" si="5"/>
        <v>2.3114999999999997</v>
      </c>
      <c r="I438" s="329" t="s">
        <v>1</v>
      </c>
    </row>
    <row r="439" spans="1:9" s="18" customFormat="1" x14ac:dyDescent="0.2">
      <c r="A439" s="265"/>
      <c r="B439" s="252"/>
      <c r="C439" s="327">
        <v>1</v>
      </c>
      <c r="D439" s="327">
        <f>0.6+1.86</f>
        <v>2.46</v>
      </c>
      <c r="E439" s="327">
        <v>0.15</v>
      </c>
      <c r="F439" s="327">
        <v>2.2999999999999998</v>
      </c>
      <c r="G439" s="328">
        <f t="shared" si="4"/>
        <v>0.8486999999999999</v>
      </c>
      <c r="H439" s="328">
        <f t="shared" si="5"/>
        <v>0.8486999999999999</v>
      </c>
      <c r="I439" s="329" t="s">
        <v>1</v>
      </c>
    </row>
    <row r="440" spans="1:9" s="18" customFormat="1" x14ac:dyDescent="0.2">
      <c r="A440" s="265"/>
      <c r="B440" s="252"/>
      <c r="C440" s="327">
        <v>1</v>
      </c>
      <c r="D440" s="327">
        <v>7.99</v>
      </c>
      <c r="E440" s="327">
        <v>0.25</v>
      </c>
      <c r="F440" s="327">
        <v>0.2</v>
      </c>
      <c r="G440" s="328">
        <f t="shared" si="4"/>
        <v>0.39950000000000002</v>
      </c>
      <c r="H440" s="328">
        <f t="shared" si="5"/>
        <v>0.39950000000000002</v>
      </c>
      <c r="I440" s="329" t="s">
        <v>1</v>
      </c>
    </row>
    <row r="441" spans="1:9" s="18" customFormat="1" x14ac:dyDescent="0.2">
      <c r="A441" s="265"/>
      <c r="B441" s="252"/>
      <c r="C441" s="327">
        <v>1</v>
      </c>
      <c r="D441" s="327">
        <v>15</v>
      </c>
      <c r="E441" s="327">
        <v>0.25</v>
      </c>
      <c r="F441" s="327">
        <v>0.2</v>
      </c>
      <c r="G441" s="328">
        <f t="shared" si="4"/>
        <v>0.75</v>
      </c>
      <c r="H441" s="328">
        <f t="shared" si="5"/>
        <v>0.75</v>
      </c>
      <c r="I441" s="329" t="s">
        <v>1</v>
      </c>
    </row>
    <row r="442" spans="1:9" s="18" customFormat="1" x14ac:dyDescent="0.2">
      <c r="A442" s="265"/>
      <c r="B442" s="571" t="s">
        <v>240</v>
      </c>
      <c r="C442" s="327">
        <v>2</v>
      </c>
      <c r="D442" s="327">
        <v>3.51</v>
      </c>
      <c r="E442" s="327">
        <v>0.15</v>
      </c>
      <c r="F442" s="327">
        <v>1</v>
      </c>
      <c r="G442" s="328">
        <f t="shared" si="4"/>
        <v>0.52649999999999997</v>
      </c>
      <c r="H442" s="328">
        <f t="shared" si="5"/>
        <v>1.0529999999999999</v>
      </c>
      <c r="I442" s="329" t="s">
        <v>1</v>
      </c>
    </row>
    <row r="443" spans="1:9" s="18" customFormat="1" x14ac:dyDescent="0.2">
      <c r="A443" s="265"/>
      <c r="B443" s="571"/>
      <c r="C443" s="327">
        <v>1</v>
      </c>
      <c r="D443" s="327">
        <v>8.1300000000000008</v>
      </c>
      <c r="E443" s="327">
        <v>0.25</v>
      </c>
      <c r="F443" s="327">
        <v>0.2</v>
      </c>
      <c r="G443" s="328">
        <f t="shared" si="4"/>
        <v>0.40650000000000008</v>
      </c>
      <c r="H443" s="328">
        <f t="shared" si="5"/>
        <v>0.40650000000000008</v>
      </c>
      <c r="I443" s="329" t="s">
        <v>1</v>
      </c>
    </row>
    <row r="444" spans="1:9" s="18" customFormat="1" x14ac:dyDescent="0.2">
      <c r="A444" s="265"/>
      <c r="B444" s="571"/>
      <c r="C444" s="327">
        <v>2</v>
      </c>
      <c r="D444" s="327">
        <v>3.42</v>
      </c>
      <c r="E444" s="327">
        <v>0.15</v>
      </c>
      <c r="F444" s="327">
        <v>1</v>
      </c>
      <c r="G444" s="328">
        <f t="shared" si="4"/>
        <v>0.51300000000000001</v>
      </c>
      <c r="H444" s="328">
        <f t="shared" si="5"/>
        <v>1.026</v>
      </c>
      <c r="I444" s="329" t="s">
        <v>1</v>
      </c>
    </row>
    <row r="445" spans="1:9" s="18" customFormat="1" x14ac:dyDescent="0.2">
      <c r="A445" s="265"/>
      <c r="B445" s="571"/>
      <c r="C445" s="327">
        <v>2</v>
      </c>
      <c r="D445" s="327">
        <v>3.35</v>
      </c>
      <c r="E445" s="327">
        <v>0.15</v>
      </c>
      <c r="F445" s="327">
        <v>1</v>
      </c>
      <c r="G445" s="328">
        <f t="shared" si="4"/>
        <v>0.50249999999999995</v>
      </c>
      <c r="H445" s="328">
        <f t="shared" si="5"/>
        <v>1.0049999999999999</v>
      </c>
      <c r="I445" s="329" t="s">
        <v>1</v>
      </c>
    </row>
    <row r="446" spans="1:9" s="18" customFormat="1" x14ac:dyDescent="0.2">
      <c r="A446" s="265"/>
      <c r="B446" s="571"/>
      <c r="C446" s="327">
        <v>1</v>
      </c>
      <c r="D446" s="327">
        <v>15</v>
      </c>
      <c r="E446" s="327">
        <v>0.25</v>
      </c>
      <c r="F446" s="327">
        <v>0.2</v>
      </c>
      <c r="G446" s="328">
        <f t="shared" si="4"/>
        <v>0.75</v>
      </c>
      <c r="H446" s="328">
        <f t="shared" si="5"/>
        <v>0.75</v>
      </c>
      <c r="I446" s="329" t="s">
        <v>1</v>
      </c>
    </row>
    <row r="447" spans="1:9" s="18" customFormat="1" x14ac:dyDescent="0.2">
      <c r="A447" s="265"/>
      <c r="B447" s="571" t="s">
        <v>226</v>
      </c>
      <c r="C447" s="327">
        <v>2</v>
      </c>
      <c r="D447" s="327">
        <v>3.1</v>
      </c>
      <c r="E447" s="327">
        <v>0.15</v>
      </c>
      <c r="F447" s="327">
        <v>2.8</v>
      </c>
      <c r="G447" s="328">
        <f t="shared" si="4"/>
        <v>1.302</v>
      </c>
      <c r="H447" s="328">
        <f t="shared" si="5"/>
        <v>2.6040000000000001</v>
      </c>
      <c r="I447" s="329" t="s">
        <v>1</v>
      </c>
    </row>
    <row r="448" spans="1:9" s="18" customFormat="1" x14ac:dyDescent="0.2">
      <c r="A448" s="265"/>
      <c r="B448" s="571"/>
      <c r="C448" s="327">
        <v>1</v>
      </c>
      <c r="D448" s="327">
        <v>8</v>
      </c>
      <c r="E448" s="327">
        <v>0.25</v>
      </c>
      <c r="F448" s="327">
        <v>0.2</v>
      </c>
      <c r="G448" s="328">
        <f t="shared" si="4"/>
        <v>0.4</v>
      </c>
      <c r="H448" s="328">
        <f t="shared" si="5"/>
        <v>0.4</v>
      </c>
      <c r="I448" s="329" t="s">
        <v>1</v>
      </c>
    </row>
    <row r="449" spans="1:9" s="18" customFormat="1" x14ac:dyDescent="0.2">
      <c r="A449" s="265"/>
      <c r="B449" s="571" t="s">
        <v>227</v>
      </c>
      <c r="C449" s="327">
        <v>2</v>
      </c>
      <c r="D449" s="327">
        <v>3.1</v>
      </c>
      <c r="E449" s="327">
        <v>0.15</v>
      </c>
      <c r="F449" s="327">
        <v>2.8</v>
      </c>
      <c r="G449" s="328">
        <f t="shared" si="4"/>
        <v>1.302</v>
      </c>
      <c r="H449" s="328">
        <f t="shared" si="5"/>
        <v>2.6040000000000001</v>
      </c>
      <c r="I449" s="329" t="s">
        <v>1</v>
      </c>
    </row>
    <row r="450" spans="1:9" s="18" customFormat="1" x14ac:dyDescent="0.2">
      <c r="A450" s="265"/>
      <c r="B450" s="571"/>
      <c r="C450" s="327">
        <v>1</v>
      </c>
      <c r="D450" s="327">
        <v>8</v>
      </c>
      <c r="E450" s="327">
        <v>0.25</v>
      </c>
      <c r="F450" s="327">
        <v>0.2</v>
      </c>
      <c r="G450" s="328">
        <f t="shared" si="4"/>
        <v>0.4</v>
      </c>
      <c r="H450" s="328">
        <f t="shared" si="5"/>
        <v>0.4</v>
      </c>
      <c r="I450" s="329" t="s">
        <v>1</v>
      </c>
    </row>
    <row r="451" spans="1:9" s="18" customFormat="1" x14ac:dyDescent="0.2">
      <c r="A451" s="265"/>
      <c r="B451" s="571"/>
      <c r="C451" s="327">
        <v>1</v>
      </c>
      <c r="D451" s="327">
        <v>7.29</v>
      </c>
      <c r="E451" s="327">
        <v>0.15</v>
      </c>
      <c r="F451" s="327">
        <v>2.8</v>
      </c>
      <c r="G451" s="328">
        <f t="shared" si="4"/>
        <v>3.0617999999999999</v>
      </c>
      <c r="H451" s="328">
        <f t="shared" si="5"/>
        <v>3.0617999999999999</v>
      </c>
      <c r="I451" s="329" t="s">
        <v>1</v>
      </c>
    </row>
    <row r="452" spans="1:9" s="18" customFormat="1" x14ac:dyDescent="0.2">
      <c r="A452" s="265"/>
      <c r="B452" s="571"/>
      <c r="C452" s="327">
        <v>1</v>
      </c>
      <c r="D452" s="327">
        <v>8</v>
      </c>
      <c r="E452" s="327">
        <v>0.25</v>
      </c>
      <c r="F452" s="327">
        <v>0.2</v>
      </c>
      <c r="G452" s="328">
        <f t="shared" si="4"/>
        <v>0.4</v>
      </c>
      <c r="H452" s="328">
        <f t="shared" si="5"/>
        <v>0.4</v>
      </c>
      <c r="I452" s="329" t="s">
        <v>1</v>
      </c>
    </row>
    <row r="453" spans="1:9" s="18" customFormat="1" x14ac:dyDescent="0.2">
      <c r="A453" s="265"/>
      <c r="B453" s="571" t="s">
        <v>229</v>
      </c>
      <c r="C453" s="327">
        <v>1</v>
      </c>
      <c r="D453" s="327">
        <v>7.29</v>
      </c>
      <c r="E453" s="327">
        <v>0.15</v>
      </c>
      <c r="F453" s="327">
        <v>2.8</v>
      </c>
      <c r="G453" s="328">
        <f t="shared" si="4"/>
        <v>3.0617999999999999</v>
      </c>
      <c r="H453" s="328">
        <f t="shared" si="5"/>
        <v>3.0617999999999999</v>
      </c>
      <c r="I453" s="329" t="s">
        <v>1</v>
      </c>
    </row>
    <row r="454" spans="1:9" s="18" customFormat="1" x14ac:dyDescent="0.2">
      <c r="A454" s="265"/>
      <c r="B454" s="571"/>
      <c r="C454" s="327">
        <v>1</v>
      </c>
      <c r="D454" s="327">
        <v>8</v>
      </c>
      <c r="E454" s="327">
        <v>0.25</v>
      </c>
      <c r="F454" s="327">
        <v>0.2</v>
      </c>
      <c r="G454" s="328">
        <f t="shared" si="4"/>
        <v>0.4</v>
      </c>
      <c r="H454" s="328">
        <f t="shared" si="5"/>
        <v>0.4</v>
      </c>
      <c r="I454" s="329" t="s">
        <v>1</v>
      </c>
    </row>
    <row r="455" spans="1:9" s="18" customFormat="1" x14ac:dyDescent="0.2">
      <c r="A455" s="265"/>
      <c r="B455" s="571" t="s">
        <v>228</v>
      </c>
      <c r="C455" s="327">
        <v>1</v>
      </c>
      <c r="D455" s="327">
        <v>7.31</v>
      </c>
      <c r="E455" s="327">
        <v>0.15</v>
      </c>
      <c r="F455" s="327">
        <v>2.8</v>
      </c>
      <c r="G455" s="328">
        <f t="shared" si="4"/>
        <v>3.0701999999999998</v>
      </c>
      <c r="H455" s="328">
        <f t="shared" si="5"/>
        <v>3.0701999999999998</v>
      </c>
      <c r="I455" s="329" t="s">
        <v>1</v>
      </c>
    </row>
    <row r="456" spans="1:9" s="18" customFormat="1" x14ac:dyDescent="0.2">
      <c r="A456" s="265"/>
      <c r="B456" s="571"/>
      <c r="C456" s="327">
        <v>1</v>
      </c>
      <c r="D456" s="327">
        <v>8.11</v>
      </c>
      <c r="E456" s="327">
        <v>0.25</v>
      </c>
      <c r="F456" s="327">
        <v>0.3</v>
      </c>
      <c r="G456" s="328">
        <f t="shared" si="4"/>
        <v>0.60824999999999996</v>
      </c>
      <c r="H456" s="328">
        <f t="shared" si="5"/>
        <v>0.60824999999999996</v>
      </c>
      <c r="I456" s="329" t="s">
        <v>1</v>
      </c>
    </row>
    <row r="457" spans="1:9" s="18" customFormat="1" x14ac:dyDescent="0.2">
      <c r="A457" s="265"/>
      <c r="B457" s="571" t="s">
        <v>230</v>
      </c>
      <c r="C457" s="327">
        <v>1</v>
      </c>
      <c r="D457" s="327">
        <v>7.31</v>
      </c>
      <c r="E457" s="327">
        <v>0.25</v>
      </c>
      <c r="F457" s="327">
        <v>2.8</v>
      </c>
      <c r="G457" s="328">
        <f t="shared" si="4"/>
        <v>5.1169999999999991</v>
      </c>
      <c r="H457" s="328">
        <f t="shared" si="5"/>
        <v>5.1169999999999991</v>
      </c>
      <c r="I457" s="329" t="s">
        <v>1</v>
      </c>
    </row>
    <row r="458" spans="1:9" s="18" customFormat="1" x14ac:dyDescent="0.2">
      <c r="A458" s="265"/>
      <c r="B458" s="571"/>
      <c r="C458" s="327">
        <v>1</v>
      </c>
      <c r="D458" s="327">
        <v>8.11</v>
      </c>
      <c r="E458" s="327">
        <v>0.25</v>
      </c>
      <c r="F458" s="327">
        <v>0.3</v>
      </c>
      <c r="G458" s="328">
        <f t="shared" si="4"/>
        <v>0.60824999999999996</v>
      </c>
      <c r="H458" s="328">
        <f t="shared" si="5"/>
        <v>0.60824999999999996</v>
      </c>
      <c r="I458" s="329" t="s">
        <v>1</v>
      </c>
    </row>
    <row r="459" spans="1:9" s="18" customFormat="1" x14ac:dyDescent="0.2">
      <c r="A459" s="265"/>
      <c r="B459" s="571"/>
      <c r="C459" s="327">
        <v>1</v>
      </c>
      <c r="D459" s="327">
        <v>7.29</v>
      </c>
      <c r="E459" s="327">
        <v>0.25</v>
      </c>
      <c r="F459" s="327">
        <v>2.8</v>
      </c>
      <c r="G459" s="328">
        <f t="shared" si="4"/>
        <v>5.1029999999999998</v>
      </c>
      <c r="H459" s="328">
        <f t="shared" si="5"/>
        <v>5.1029999999999998</v>
      </c>
      <c r="I459" s="329" t="s">
        <v>1</v>
      </c>
    </row>
    <row r="460" spans="1:9" s="18" customFormat="1" x14ac:dyDescent="0.2">
      <c r="A460" s="265"/>
      <c r="B460" s="571"/>
      <c r="C460" s="327">
        <v>1</v>
      </c>
      <c r="D460" s="327">
        <v>8</v>
      </c>
      <c r="E460" s="327">
        <v>0.25</v>
      </c>
      <c r="F460" s="327">
        <v>0.2</v>
      </c>
      <c r="G460" s="328">
        <f t="shared" si="4"/>
        <v>0.4</v>
      </c>
      <c r="H460" s="328">
        <f t="shared" si="5"/>
        <v>0.4</v>
      </c>
      <c r="I460" s="329" t="s">
        <v>1</v>
      </c>
    </row>
    <row r="461" spans="1:9" s="18" customFormat="1" x14ac:dyDescent="0.2">
      <c r="A461" s="265"/>
      <c r="B461" s="571" t="s">
        <v>231</v>
      </c>
      <c r="C461" s="327">
        <v>1</v>
      </c>
      <c r="D461" s="327">
        <v>7.31</v>
      </c>
      <c r="E461" s="327">
        <v>0.15</v>
      </c>
      <c r="F461" s="327">
        <v>2.8</v>
      </c>
      <c r="G461" s="328">
        <f t="shared" si="4"/>
        <v>3.0701999999999998</v>
      </c>
      <c r="H461" s="328">
        <f t="shared" si="5"/>
        <v>3.0701999999999998</v>
      </c>
      <c r="I461" s="329" t="s">
        <v>1</v>
      </c>
    </row>
    <row r="462" spans="1:9" s="18" customFormat="1" x14ac:dyDescent="0.2">
      <c r="A462" s="265"/>
      <c r="B462" s="571"/>
      <c r="C462" s="327">
        <v>1</v>
      </c>
      <c r="D462" s="327">
        <v>8.11</v>
      </c>
      <c r="E462" s="327">
        <v>0.25</v>
      </c>
      <c r="F462" s="327">
        <v>0.3</v>
      </c>
      <c r="G462" s="328">
        <f t="shared" si="4"/>
        <v>0.60824999999999996</v>
      </c>
      <c r="H462" s="328">
        <f t="shared" si="5"/>
        <v>0.60824999999999996</v>
      </c>
      <c r="I462" s="329" t="s">
        <v>1</v>
      </c>
    </row>
    <row r="463" spans="1:9" s="18" customFormat="1" x14ac:dyDescent="0.2">
      <c r="A463" s="265"/>
      <c r="B463" s="571"/>
      <c r="C463" s="327">
        <v>1</v>
      </c>
      <c r="D463" s="327">
        <v>7.29</v>
      </c>
      <c r="E463" s="327">
        <v>0.15</v>
      </c>
      <c r="F463" s="327">
        <v>2.8</v>
      </c>
      <c r="G463" s="328">
        <f t="shared" si="4"/>
        <v>3.0617999999999999</v>
      </c>
      <c r="H463" s="328">
        <f t="shared" si="5"/>
        <v>3.0617999999999999</v>
      </c>
      <c r="I463" s="329" t="s">
        <v>1</v>
      </c>
    </row>
    <row r="464" spans="1:9" s="18" customFormat="1" x14ac:dyDescent="0.2">
      <c r="A464" s="265"/>
      <c r="B464" s="571"/>
      <c r="C464" s="327">
        <v>1</v>
      </c>
      <c r="D464" s="327">
        <v>8</v>
      </c>
      <c r="E464" s="327">
        <v>0.25</v>
      </c>
      <c r="F464" s="327">
        <v>0.2</v>
      </c>
      <c r="G464" s="328">
        <f t="shared" si="4"/>
        <v>0.4</v>
      </c>
      <c r="H464" s="328">
        <f t="shared" si="5"/>
        <v>0.4</v>
      </c>
      <c r="I464" s="329" t="s">
        <v>1</v>
      </c>
    </row>
    <row r="465" spans="1:9" s="18" customFormat="1" x14ac:dyDescent="0.2">
      <c r="A465" s="265"/>
      <c r="B465" s="571" t="s">
        <v>232</v>
      </c>
      <c r="C465" s="327">
        <v>1</v>
      </c>
      <c r="D465" s="327">
        <v>7.29</v>
      </c>
      <c r="E465" s="327">
        <v>0.15</v>
      </c>
      <c r="F465" s="327">
        <v>2.8</v>
      </c>
      <c r="G465" s="328">
        <f t="shared" si="4"/>
        <v>3.0617999999999999</v>
      </c>
      <c r="H465" s="328">
        <f t="shared" si="5"/>
        <v>3.0617999999999999</v>
      </c>
      <c r="I465" s="329" t="s">
        <v>1</v>
      </c>
    </row>
    <row r="466" spans="1:9" s="18" customFormat="1" x14ac:dyDescent="0.2">
      <c r="A466" s="265"/>
      <c r="B466" s="571"/>
      <c r="C466" s="327">
        <v>1</v>
      </c>
      <c r="D466" s="327">
        <v>8</v>
      </c>
      <c r="E466" s="327">
        <v>0.25</v>
      </c>
      <c r="F466" s="327">
        <v>0.2</v>
      </c>
      <c r="G466" s="328">
        <f t="shared" si="4"/>
        <v>0.4</v>
      </c>
      <c r="H466" s="328">
        <f t="shared" si="5"/>
        <v>0.4</v>
      </c>
      <c r="I466" s="329" t="s">
        <v>1</v>
      </c>
    </row>
    <row r="467" spans="1:9" s="18" customFormat="1" x14ac:dyDescent="0.2">
      <c r="A467" s="265"/>
      <c r="B467" s="571" t="s">
        <v>233</v>
      </c>
      <c r="C467" s="327">
        <v>1</v>
      </c>
      <c r="D467" s="327">
        <v>7.29</v>
      </c>
      <c r="E467" s="327">
        <v>0.25</v>
      </c>
      <c r="F467" s="327">
        <v>2.8</v>
      </c>
      <c r="G467" s="328">
        <f t="shared" si="4"/>
        <v>5.1029999999999998</v>
      </c>
      <c r="H467" s="328">
        <f t="shared" si="5"/>
        <v>5.1029999999999998</v>
      </c>
      <c r="I467" s="329" t="s">
        <v>1</v>
      </c>
    </row>
    <row r="468" spans="1:9" s="18" customFormat="1" x14ac:dyDescent="0.2">
      <c r="A468" s="265"/>
      <c r="B468" s="571"/>
      <c r="C468" s="327">
        <v>1</v>
      </c>
      <c r="D468" s="327">
        <v>8</v>
      </c>
      <c r="E468" s="327">
        <v>0.25</v>
      </c>
      <c r="F468" s="327">
        <v>0.2</v>
      </c>
      <c r="G468" s="328">
        <f t="shared" si="4"/>
        <v>0.4</v>
      </c>
      <c r="H468" s="328">
        <f t="shared" si="5"/>
        <v>0.4</v>
      </c>
      <c r="I468" s="329" t="s">
        <v>1</v>
      </c>
    </row>
    <row r="469" spans="1:9" s="18" customFormat="1" x14ac:dyDescent="0.2">
      <c r="A469" s="265"/>
      <c r="B469" s="571" t="s">
        <v>234</v>
      </c>
      <c r="C469" s="327">
        <v>1</v>
      </c>
      <c r="D469" s="327">
        <v>7.29</v>
      </c>
      <c r="E469" s="327">
        <v>0.25</v>
      </c>
      <c r="F469" s="327">
        <v>2.8</v>
      </c>
      <c r="G469" s="328">
        <f t="shared" si="4"/>
        <v>5.1029999999999998</v>
      </c>
      <c r="H469" s="328">
        <f t="shared" si="5"/>
        <v>5.1029999999999998</v>
      </c>
      <c r="I469" s="329" t="s">
        <v>1</v>
      </c>
    </row>
    <row r="470" spans="1:9" s="18" customFormat="1" x14ac:dyDescent="0.2">
      <c r="A470" s="265"/>
      <c r="B470" s="571"/>
      <c r="C470" s="327">
        <v>1</v>
      </c>
      <c r="D470" s="327">
        <v>8</v>
      </c>
      <c r="E470" s="327">
        <v>0.25</v>
      </c>
      <c r="F470" s="327">
        <v>0.2</v>
      </c>
      <c r="G470" s="328">
        <f t="shared" si="4"/>
        <v>0.4</v>
      </c>
      <c r="H470" s="328">
        <f t="shared" si="5"/>
        <v>0.4</v>
      </c>
      <c r="I470" s="329" t="s">
        <v>1</v>
      </c>
    </row>
    <row r="471" spans="1:9" s="18" customFormat="1" x14ac:dyDescent="0.2">
      <c r="A471" s="265"/>
      <c r="B471" s="571" t="s">
        <v>235</v>
      </c>
      <c r="C471" s="327">
        <v>1</v>
      </c>
      <c r="D471" s="327">
        <v>7.29</v>
      </c>
      <c r="E471" s="327">
        <v>0.15</v>
      </c>
      <c r="F471" s="327">
        <v>2.8</v>
      </c>
      <c r="G471" s="328">
        <f t="shared" si="4"/>
        <v>3.0617999999999999</v>
      </c>
      <c r="H471" s="328">
        <f t="shared" si="5"/>
        <v>3.0617999999999999</v>
      </c>
      <c r="I471" s="329" t="s">
        <v>1</v>
      </c>
    </row>
    <row r="472" spans="1:9" s="18" customFormat="1" x14ac:dyDescent="0.2">
      <c r="A472" s="265"/>
      <c r="B472" s="571"/>
      <c r="C472" s="327">
        <v>1</v>
      </c>
      <c r="D472" s="327">
        <v>8</v>
      </c>
      <c r="E472" s="327">
        <v>0.25</v>
      </c>
      <c r="F472" s="327">
        <v>0.2</v>
      </c>
      <c r="G472" s="328">
        <f t="shared" si="4"/>
        <v>0.4</v>
      </c>
      <c r="H472" s="328">
        <f t="shared" si="5"/>
        <v>0.4</v>
      </c>
      <c r="I472" s="329" t="s">
        <v>1</v>
      </c>
    </row>
    <row r="473" spans="1:9" s="18" customFormat="1" x14ac:dyDescent="0.2">
      <c r="A473" s="265"/>
      <c r="B473" s="581" t="s">
        <v>242</v>
      </c>
      <c r="C473" s="327"/>
      <c r="D473" s="327"/>
      <c r="E473" s="327"/>
      <c r="F473" s="327"/>
      <c r="G473" s="328"/>
      <c r="H473" s="328"/>
      <c r="I473" s="329"/>
    </row>
    <row r="474" spans="1:9" s="18" customFormat="1" x14ac:dyDescent="0.2">
      <c r="A474" s="265"/>
      <c r="B474" s="571" t="s">
        <v>241</v>
      </c>
      <c r="C474" s="327">
        <v>1</v>
      </c>
      <c r="D474" s="327">
        <v>3.64</v>
      </c>
      <c r="E474" s="327">
        <v>0.15</v>
      </c>
      <c r="F474" s="327">
        <v>0.65</v>
      </c>
      <c r="G474" s="328">
        <f t="shared" ref="G474:G503" si="6">F474*E474*D474</f>
        <v>0.35490000000000005</v>
      </c>
      <c r="H474" s="328">
        <f t="shared" ref="H474:H520" si="7">G474*C474</f>
        <v>0.35490000000000005</v>
      </c>
      <c r="I474" s="329" t="s">
        <v>1</v>
      </c>
    </row>
    <row r="475" spans="1:9" s="18" customFormat="1" x14ac:dyDescent="0.2">
      <c r="A475" s="265"/>
      <c r="B475" s="571"/>
      <c r="C475" s="327">
        <v>1</v>
      </c>
      <c r="D475" s="327">
        <v>3.68</v>
      </c>
      <c r="E475" s="327">
        <v>0.15</v>
      </c>
      <c r="F475" s="327">
        <v>0.65</v>
      </c>
      <c r="G475" s="328">
        <f t="shared" si="6"/>
        <v>0.35880000000000001</v>
      </c>
      <c r="H475" s="328">
        <f t="shared" si="7"/>
        <v>0.35880000000000001</v>
      </c>
      <c r="I475" s="329" t="s">
        <v>1</v>
      </c>
    </row>
    <row r="476" spans="1:9" s="18" customFormat="1" x14ac:dyDescent="0.2">
      <c r="A476" s="265"/>
      <c r="B476" s="571"/>
      <c r="C476" s="327">
        <v>1</v>
      </c>
      <c r="D476" s="327">
        <v>3.65</v>
      </c>
      <c r="E476" s="327">
        <v>0.15</v>
      </c>
      <c r="F476" s="327">
        <v>0.65</v>
      </c>
      <c r="G476" s="328">
        <f t="shared" si="6"/>
        <v>0.355875</v>
      </c>
      <c r="H476" s="328">
        <f t="shared" si="7"/>
        <v>0.355875</v>
      </c>
      <c r="I476" s="329" t="s">
        <v>1</v>
      </c>
    </row>
    <row r="477" spans="1:9" s="18" customFormat="1" x14ac:dyDescent="0.2">
      <c r="A477" s="265"/>
      <c r="B477" s="571"/>
      <c r="C477" s="327">
        <v>1</v>
      </c>
      <c r="D477" s="327">
        <v>3.77</v>
      </c>
      <c r="E477" s="327">
        <v>0.15</v>
      </c>
      <c r="F477" s="327">
        <v>0.65</v>
      </c>
      <c r="G477" s="328">
        <f t="shared" si="6"/>
        <v>0.36757500000000004</v>
      </c>
      <c r="H477" s="328">
        <f t="shared" si="7"/>
        <v>0.36757500000000004</v>
      </c>
      <c r="I477" s="329" t="s">
        <v>1</v>
      </c>
    </row>
    <row r="478" spans="1:9" s="18" customFormat="1" x14ac:dyDescent="0.2">
      <c r="A478" s="265"/>
      <c r="B478" s="571" t="s">
        <v>244</v>
      </c>
      <c r="C478" s="327">
        <v>1</v>
      </c>
      <c r="D478" s="327">
        <v>4.1900000000000004</v>
      </c>
      <c r="E478" s="327">
        <v>0.15</v>
      </c>
      <c r="F478" s="327">
        <v>3</v>
      </c>
      <c r="G478" s="328">
        <f t="shared" si="6"/>
        <v>1.8855</v>
      </c>
      <c r="H478" s="328">
        <f t="shared" si="7"/>
        <v>1.8855</v>
      </c>
      <c r="I478" s="329" t="s">
        <v>1</v>
      </c>
    </row>
    <row r="479" spans="1:9" s="18" customFormat="1" x14ac:dyDescent="0.2">
      <c r="A479" s="265"/>
      <c r="B479" s="571"/>
      <c r="C479" s="327">
        <v>1</v>
      </c>
      <c r="D479" s="327">
        <v>3.1</v>
      </c>
      <c r="E479" s="327">
        <v>0.15</v>
      </c>
      <c r="F479" s="327">
        <v>3</v>
      </c>
      <c r="G479" s="328">
        <f t="shared" si="6"/>
        <v>1.3949999999999998</v>
      </c>
      <c r="H479" s="328">
        <f t="shared" si="7"/>
        <v>1.3949999999999998</v>
      </c>
      <c r="I479" s="329" t="s">
        <v>1</v>
      </c>
    </row>
    <row r="480" spans="1:9" s="18" customFormat="1" x14ac:dyDescent="0.2">
      <c r="A480" s="265"/>
      <c r="B480" s="571"/>
      <c r="C480" s="327">
        <v>1</v>
      </c>
      <c r="D480" s="327">
        <v>2.1</v>
      </c>
      <c r="E480" s="327">
        <v>0.15</v>
      </c>
      <c r="F480" s="327">
        <v>3</v>
      </c>
      <c r="G480" s="328">
        <f t="shared" si="6"/>
        <v>0.94499999999999995</v>
      </c>
      <c r="H480" s="328">
        <f t="shared" si="7"/>
        <v>0.94499999999999995</v>
      </c>
      <c r="I480" s="329" t="s">
        <v>1</v>
      </c>
    </row>
    <row r="481" spans="1:9" s="18" customFormat="1" x14ac:dyDescent="0.2">
      <c r="A481" s="265"/>
      <c r="B481" s="571"/>
      <c r="C481" s="327">
        <v>1</v>
      </c>
      <c r="D481" s="327">
        <v>4.24</v>
      </c>
      <c r="E481" s="327">
        <v>0.15</v>
      </c>
      <c r="F481" s="327">
        <v>3</v>
      </c>
      <c r="G481" s="328">
        <f t="shared" si="6"/>
        <v>1.9079999999999999</v>
      </c>
      <c r="H481" s="328">
        <f t="shared" si="7"/>
        <v>1.9079999999999999</v>
      </c>
      <c r="I481" s="329" t="s">
        <v>1</v>
      </c>
    </row>
    <row r="482" spans="1:9" s="18" customFormat="1" x14ac:dyDescent="0.2">
      <c r="A482" s="265"/>
      <c r="B482" s="571"/>
      <c r="C482" s="327">
        <v>1</v>
      </c>
      <c r="D482" s="327">
        <v>1.37</v>
      </c>
      <c r="E482" s="327">
        <v>0.15</v>
      </c>
      <c r="F482" s="327">
        <v>3</v>
      </c>
      <c r="G482" s="328">
        <f t="shared" si="6"/>
        <v>0.61649999999999994</v>
      </c>
      <c r="H482" s="328">
        <f t="shared" si="7"/>
        <v>0.61649999999999994</v>
      </c>
      <c r="I482" s="329" t="s">
        <v>1</v>
      </c>
    </row>
    <row r="483" spans="1:9" s="18" customFormat="1" x14ac:dyDescent="0.2">
      <c r="A483" s="265"/>
      <c r="B483" s="571"/>
      <c r="C483" s="327">
        <v>1</v>
      </c>
      <c r="D483" s="327">
        <v>1.35</v>
      </c>
      <c r="E483" s="327">
        <v>0.15</v>
      </c>
      <c r="F483" s="327">
        <v>3</v>
      </c>
      <c r="G483" s="328">
        <f t="shared" si="6"/>
        <v>0.60749999999999993</v>
      </c>
      <c r="H483" s="328">
        <f t="shared" si="7"/>
        <v>0.60749999999999993</v>
      </c>
      <c r="I483" s="329" t="s">
        <v>1</v>
      </c>
    </row>
    <row r="484" spans="1:9" s="18" customFormat="1" x14ac:dyDescent="0.2">
      <c r="A484" s="265"/>
      <c r="B484" s="571" t="s">
        <v>243</v>
      </c>
      <c r="C484" s="327">
        <v>1</v>
      </c>
      <c r="D484" s="327">
        <v>2.78</v>
      </c>
      <c r="E484" s="327">
        <v>0.15</v>
      </c>
      <c r="F484" s="327">
        <v>2.2999999999999998</v>
      </c>
      <c r="G484" s="328">
        <f t="shared" si="6"/>
        <v>0.95909999999999984</v>
      </c>
      <c r="H484" s="328">
        <f t="shared" si="7"/>
        <v>0.95909999999999984</v>
      </c>
      <c r="I484" s="329" t="s">
        <v>1</v>
      </c>
    </row>
    <row r="485" spans="1:9" s="18" customFormat="1" x14ac:dyDescent="0.2">
      <c r="A485" s="265"/>
      <c r="B485" s="571"/>
      <c r="C485" s="327">
        <v>1</v>
      </c>
      <c r="D485" s="327">
        <f>0.67+1.8</f>
        <v>2.4700000000000002</v>
      </c>
      <c r="E485" s="327">
        <v>0.15</v>
      </c>
      <c r="F485" s="327">
        <v>2.2999999999999998</v>
      </c>
      <c r="G485" s="328">
        <f t="shared" si="6"/>
        <v>0.85214999999999996</v>
      </c>
      <c r="H485" s="328">
        <f t="shared" si="7"/>
        <v>0.85214999999999996</v>
      </c>
      <c r="I485" s="329" t="s">
        <v>1</v>
      </c>
    </row>
    <row r="486" spans="1:9" s="18" customFormat="1" x14ac:dyDescent="0.2">
      <c r="A486" s="265"/>
      <c r="B486" s="571"/>
      <c r="C486" s="327">
        <v>1</v>
      </c>
      <c r="D486" s="327">
        <v>1.85</v>
      </c>
      <c r="E486" s="327">
        <v>0.15</v>
      </c>
      <c r="F486" s="327">
        <v>2.2999999999999998</v>
      </c>
      <c r="G486" s="328">
        <f t="shared" si="6"/>
        <v>0.63824999999999998</v>
      </c>
      <c r="H486" s="328">
        <f t="shared" si="7"/>
        <v>0.63824999999999998</v>
      </c>
      <c r="I486" s="329" t="s">
        <v>1</v>
      </c>
    </row>
    <row r="487" spans="1:9" s="18" customFormat="1" x14ac:dyDescent="0.2">
      <c r="A487" s="265"/>
      <c r="B487" s="571" t="s">
        <v>245</v>
      </c>
      <c r="C487" s="327">
        <v>1</v>
      </c>
      <c r="D487" s="327">
        <v>4.04</v>
      </c>
      <c r="E487" s="327">
        <v>0.15</v>
      </c>
      <c r="F487" s="327">
        <v>3</v>
      </c>
      <c r="G487" s="328">
        <f t="shared" si="6"/>
        <v>1.8179999999999998</v>
      </c>
      <c r="H487" s="328">
        <f t="shared" si="7"/>
        <v>1.8179999999999998</v>
      </c>
      <c r="I487" s="329" t="s">
        <v>1</v>
      </c>
    </row>
    <row r="488" spans="1:9" s="18" customFormat="1" x14ac:dyDescent="0.2">
      <c r="A488" s="265"/>
      <c r="B488" s="571" t="s">
        <v>246</v>
      </c>
      <c r="C488" s="327">
        <v>1</v>
      </c>
      <c r="D488" s="327">
        <f>1.64+0.8</f>
        <v>2.44</v>
      </c>
      <c r="E488" s="327">
        <v>0.15</v>
      </c>
      <c r="F488" s="327">
        <v>2.2999999999999998</v>
      </c>
      <c r="G488" s="328">
        <f t="shared" si="6"/>
        <v>0.84179999999999988</v>
      </c>
      <c r="H488" s="328">
        <f t="shared" si="7"/>
        <v>0.84179999999999988</v>
      </c>
      <c r="I488" s="329" t="s">
        <v>1</v>
      </c>
    </row>
    <row r="489" spans="1:9" s="18" customFormat="1" x14ac:dyDescent="0.2">
      <c r="A489" s="265"/>
      <c r="B489" s="571" t="s">
        <v>247</v>
      </c>
      <c r="C489" s="327">
        <v>2</v>
      </c>
      <c r="D489" s="327">
        <v>3.64</v>
      </c>
      <c r="E489" s="327">
        <v>0.15</v>
      </c>
      <c r="F489" s="327">
        <v>1</v>
      </c>
      <c r="G489" s="328">
        <f t="shared" si="6"/>
        <v>0.54600000000000004</v>
      </c>
      <c r="H489" s="328">
        <f t="shared" si="7"/>
        <v>1.0920000000000001</v>
      </c>
      <c r="I489" s="329" t="s">
        <v>1</v>
      </c>
    </row>
    <row r="490" spans="1:9" s="18" customFormat="1" x14ac:dyDescent="0.2">
      <c r="A490" s="265"/>
      <c r="B490" s="571" t="s">
        <v>248</v>
      </c>
      <c r="C490" s="327">
        <v>1</v>
      </c>
      <c r="D490" s="327">
        <v>5.71</v>
      </c>
      <c r="E490" s="327">
        <v>0.15</v>
      </c>
      <c r="F490" s="327">
        <v>2.8</v>
      </c>
      <c r="G490" s="328">
        <f t="shared" si="6"/>
        <v>2.3982000000000001</v>
      </c>
      <c r="H490" s="328">
        <f t="shared" si="7"/>
        <v>2.3982000000000001</v>
      </c>
      <c r="I490" s="329" t="s">
        <v>1</v>
      </c>
    </row>
    <row r="491" spans="1:9" s="18" customFormat="1" x14ac:dyDescent="0.2">
      <c r="A491" s="265"/>
      <c r="B491" s="571"/>
      <c r="C491" s="327">
        <v>1</v>
      </c>
      <c r="D491" s="327">
        <v>6.49</v>
      </c>
      <c r="E491" s="327">
        <v>0.25</v>
      </c>
      <c r="F491" s="327">
        <v>0.2</v>
      </c>
      <c r="G491" s="328">
        <f t="shared" si="6"/>
        <v>0.32450000000000001</v>
      </c>
      <c r="H491" s="328">
        <f t="shared" si="7"/>
        <v>0.32450000000000001</v>
      </c>
      <c r="I491" s="329" t="s">
        <v>1</v>
      </c>
    </row>
    <row r="492" spans="1:9" s="18" customFormat="1" x14ac:dyDescent="0.2">
      <c r="A492" s="265"/>
      <c r="B492" s="571" t="s">
        <v>249</v>
      </c>
      <c r="C492" s="327">
        <v>1</v>
      </c>
      <c r="D492" s="327">
        <v>2.0499999999999998</v>
      </c>
      <c r="E492" s="327">
        <v>0.15</v>
      </c>
      <c r="F492" s="327">
        <v>3</v>
      </c>
      <c r="G492" s="328">
        <f t="shared" si="6"/>
        <v>0.92249999999999988</v>
      </c>
      <c r="H492" s="328">
        <f t="shared" si="7"/>
        <v>0.92249999999999988</v>
      </c>
      <c r="I492" s="329" t="s">
        <v>1</v>
      </c>
    </row>
    <row r="493" spans="1:9" s="18" customFormat="1" x14ac:dyDescent="0.2">
      <c r="A493" s="265"/>
      <c r="B493" s="571" t="s">
        <v>250</v>
      </c>
      <c r="C493" s="327">
        <v>1</v>
      </c>
      <c r="D493" s="327">
        <v>2.85</v>
      </c>
      <c r="E493" s="327">
        <v>0.15</v>
      </c>
      <c r="F493" s="327">
        <v>2.8</v>
      </c>
      <c r="G493" s="328">
        <f t="shared" si="6"/>
        <v>1.1970000000000001</v>
      </c>
      <c r="H493" s="328">
        <f t="shared" si="7"/>
        <v>1.1970000000000001</v>
      </c>
      <c r="I493" s="329" t="s">
        <v>1</v>
      </c>
    </row>
    <row r="494" spans="1:9" s="18" customFormat="1" x14ac:dyDescent="0.2">
      <c r="A494" s="265"/>
      <c r="B494" s="571"/>
      <c r="C494" s="327">
        <v>1</v>
      </c>
      <c r="D494" s="327">
        <v>6.49</v>
      </c>
      <c r="E494" s="327">
        <v>0.25</v>
      </c>
      <c r="F494" s="327">
        <v>0.2</v>
      </c>
      <c r="G494" s="328">
        <f t="shared" si="6"/>
        <v>0.32450000000000001</v>
      </c>
      <c r="H494" s="328">
        <f t="shared" si="7"/>
        <v>0.32450000000000001</v>
      </c>
      <c r="I494" s="329" t="s">
        <v>1</v>
      </c>
    </row>
    <row r="495" spans="1:9" s="18" customFormat="1" x14ac:dyDescent="0.2">
      <c r="A495" s="265"/>
      <c r="B495" s="571" t="s">
        <v>251</v>
      </c>
      <c r="C495" s="327">
        <v>1</v>
      </c>
      <c r="D495" s="327">
        <v>2.85</v>
      </c>
      <c r="E495" s="327">
        <v>0.15</v>
      </c>
      <c r="F495" s="327">
        <v>2.8</v>
      </c>
      <c r="G495" s="328">
        <f t="shared" si="6"/>
        <v>1.1970000000000001</v>
      </c>
      <c r="H495" s="328">
        <f t="shared" si="7"/>
        <v>1.1970000000000001</v>
      </c>
      <c r="I495" s="329" t="s">
        <v>1</v>
      </c>
    </row>
    <row r="496" spans="1:9" s="18" customFormat="1" x14ac:dyDescent="0.2">
      <c r="A496" s="265"/>
      <c r="B496" s="571"/>
      <c r="C496" s="327">
        <v>1</v>
      </c>
      <c r="D496" s="327">
        <v>6.49</v>
      </c>
      <c r="E496" s="327">
        <v>0.25</v>
      </c>
      <c r="F496" s="327">
        <v>0.2</v>
      </c>
      <c r="G496" s="328">
        <f t="shared" si="6"/>
        <v>0.32450000000000001</v>
      </c>
      <c r="H496" s="328">
        <f t="shared" si="7"/>
        <v>0.32450000000000001</v>
      </c>
      <c r="I496" s="329" t="s">
        <v>1</v>
      </c>
    </row>
    <row r="497" spans="1:9" s="18" customFormat="1" x14ac:dyDescent="0.2">
      <c r="A497" s="598"/>
      <c r="B497" s="593" t="s">
        <v>252</v>
      </c>
      <c r="C497" s="599">
        <v>1</v>
      </c>
      <c r="D497" s="599">
        <v>2.5</v>
      </c>
      <c r="E497" s="599">
        <v>0.15</v>
      </c>
      <c r="F497" s="599">
        <v>2.8</v>
      </c>
      <c r="G497" s="600">
        <f t="shared" si="6"/>
        <v>1.05</v>
      </c>
      <c r="H497" s="600">
        <f t="shared" si="7"/>
        <v>1.05</v>
      </c>
      <c r="I497" s="601" t="s">
        <v>1</v>
      </c>
    </row>
    <row r="498" spans="1:9" s="18" customFormat="1" x14ac:dyDescent="0.2">
      <c r="A498" s="265"/>
      <c r="B498" s="571"/>
      <c r="C498" s="327">
        <v>1</v>
      </c>
      <c r="D498" s="327">
        <v>6.49</v>
      </c>
      <c r="E498" s="327">
        <v>0.25</v>
      </c>
      <c r="F498" s="327">
        <v>0.2</v>
      </c>
      <c r="G498" s="328">
        <f t="shared" si="6"/>
        <v>0.32450000000000001</v>
      </c>
      <c r="H498" s="328">
        <f t="shared" si="7"/>
        <v>0.32450000000000001</v>
      </c>
      <c r="I498" s="329" t="s">
        <v>1</v>
      </c>
    </row>
    <row r="499" spans="1:9" s="18" customFormat="1" x14ac:dyDescent="0.2">
      <c r="A499" s="265"/>
      <c r="B499" s="571" t="s">
        <v>253</v>
      </c>
      <c r="C499" s="327">
        <v>1</v>
      </c>
      <c r="D499" s="327">
        <v>6.21</v>
      </c>
      <c r="E499" s="327">
        <v>0.15</v>
      </c>
      <c r="F499" s="327">
        <v>2.8</v>
      </c>
      <c r="G499" s="328">
        <f t="shared" si="6"/>
        <v>2.6082000000000001</v>
      </c>
      <c r="H499" s="328">
        <f t="shared" si="7"/>
        <v>2.6082000000000001</v>
      </c>
      <c r="I499" s="329" t="s">
        <v>1</v>
      </c>
    </row>
    <row r="500" spans="1:9" s="18" customFormat="1" x14ac:dyDescent="0.2">
      <c r="A500" s="265"/>
      <c r="B500" s="571"/>
      <c r="C500" s="327">
        <v>1</v>
      </c>
      <c r="D500" s="327">
        <v>1.5</v>
      </c>
      <c r="E500" s="327">
        <v>0.15</v>
      </c>
      <c r="F500" s="327">
        <v>1</v>
      </c>
      <c r="G500" s="328">
        <f t="shared" si="6"/>
        <v>0.22499999999999998</v>
      </c>
      <c r="H500" s="328">
        <f t="shared" si="7"/>
        <v>0.22499999999999998</v>
      </c>
      <c r="I500" s="329" t="s">
        <v>1</v>
      </c>
    </row>
    <row r="501" spans="1:9" s="18" customFormat="1" x14ac:dyDescent="0.2">
      <c r="A501" s="265"/>
      <c r="B501" s="571"/>
      <c r="C501" s="327">
        <v>1</v>
      </c>
      <c r="D501" s="327">
        <v>2.13</v>
      </c>
      <c r="E501" s="327">
        <v>0.15</v>
      </c>
      <c r="F501" s="327">
        <v>2.8</v>
      </c>
      <c r="G501" s="328">
        <f t="shared" si="6"/>
        <v>0.89459999999999995</v>
      </c>
      <c r="H501" s="328">
        <f t="shared" si="7"/>
        <v>0.89459999999999995</v>
      </c>
      <c r="I501" s="329" t="s">
        <v>1</v>
      </c>
    </row>
    <row r="502" spans="1:9" s="18" customFormat="1" x14ac:dyDescent="0.2">
      <c r="A502" s="265"/>
      <c r="B502" s="571"/>
      <c r="C502" s="327">
        <v>1</v>
      </c>
      <c r="D502" s="327">
        <v>1.5</v>
      </c>
      <c r="E502" s="327">
        <v>0.15</v>
      </c>
      <c r="F502" s="327">
        <v>1</v>
      </c>
      <c r="G502" s="328">
        <f t="shared" si="6"/>
        <v>0.22499999999999998</v>
      </c>
      <c r="H502" s="328">
        <f t="shared" si="7"/>
        <v>0.22499999999999998</v>
      </c>
      <c r="I502" s="329" t="s">
        <v>1</v>
      </c>
    </row>
    <row r="503" spans="1:9" s="18" customFormat="1" x14ac:dyDescent="0.2">
      <c r="A503" s="265"/>
      <c r="B503" s="571"/>
      <c r="C503" s="327">
        <v>1</v>
      </c>
      <c r="D503" s="327">
        <v>6.95</v>
      </c>
      <c r="E503" s="327">
        <v>0.15</v>
      </c>
      <c r="F503" s="327">
        <v>1</v>
      </c>
      <c r="G503" s="328">
        <f t="shared" si="6"/>
        <v>1.0425</v>
      </c>
      <c r="H503" s="328">
        <f t="shared" si="7"/>
        <v>1.0425</v>
      </c>
      <c r="I503" s="329" t="s">
        <v>1</v>
      </c>
    </row>
    <row r="504" spans="1:9" s="18" customFormat="1" x14ac:dyDescent="0.2">
      <c r="A504" s="265"/>
      <c r="B504" s="571" t="s">
        <v>360</v>
      </c>
      <c r="C504" s="327">
        <v>2</v>
      </c>
      <c r="D504" s="327">
        <v>45.84</v>
      </c>
      <c r="E504" s="327">
        <v>0.8</v>
      </c>
      <c r="F504" s="327">
        <v>1.2</v>
      </c>
      <c r="G504" s="328">
        <f t="shared" ref="G504:G520" si="8">F504*E504*D504</f>
        <v>44.006399999999999</v>
      </c>
      <c r="H504" s="328">
        <f t="shared" si="7"/>
        <v>88.012799999999999</v>
      </c>
      <c r="I504" s="329" t="s">
        <v>1</v>
      </c>
    </row>
    <row r="505" spans="1:9" s="18" customFormat="1" x14ac:dyDescent="0.2">
      <c r="A505" s="265"/>
      <c r="B505" s="571" t="s">
        <v>361</v>
      </c>
      <c r="C505" s="327">
        <v>8</v>
      </c>
      <c r="D505" s="327">
        <v>6.89</v>
      </c>
      <c r="E505" s="327">
        <v>0.8</v>
      </c>
      <c r="F505" s="327">
        <v>1.2</v>
      </c>
      <c r="G505" s="328">
        <f t="shared" si="8"/>
        <v>6.6143999999999998</v>
      </c>
      <c r="H505" s="328">
        <f t="shared" si="7"/>
        <v>52.915199999999999</v>
      </c>
      <c r="I505" s="329" t="s">
        <v>1</v>
      </c>
    </row>
    <row r="506" spans="1:9" s="18" customFormat="1" x14ac:dyDescent="0.2">
      <c r="A506" s="265"/>
      <c r="B506" s="571" t="s">
        <v>360</v>
      </c>
      <c r="C506" s="327">
        <v>2</v>
      </c>
      <c r="D506" s="327">
        <v>8.5399999999999991</v>
      </c>
      <c r="E506" s="327">
        <v>0.8</v>
      </c>
      <c r="F506" s="327">
        <v>1.2</v>
      </c>
      <c r="G506" s="328">
        <f t="shared" si="8"/>
        <v>8.1983999999999995</v>
      </c>
      <c r="H506" s="328">
        <f t="shared" si="7"/>
        <v>16.396799999999999</v>
      </c>
      <c r="I506" s="329" t="s">
        <v>1</v>
      </c>
    </row>
    <row r="507" spans="1:9" s="18" customFormat="1" x14ac:dyDescent="0.2">
      <c r="A507" s="265"/>
      <c r="B507" s="571" t="s">
        <v>361</v>
      </c>
      <c r="C507" s="327">
        <v>2</v>
      </c>
      <c r="D507" s="327">
        <v>7.02</v>
      </c>
      <c r="E507" s="327">
        <v>0.8</v>
      </c>
      <c r="F507" s="327">
        <v>1.2</v>
      </c>
      <c r="G507" s="328">
        <f t="shared" si="8"/>
        <v>6.7391999999999994</v>
      </c>
      <c r="H507" s="328">
        <f t="shared" si="7"/>
        <v>13.478399999999999</v>
      </c>
      <c r="I507" s="329" t="s">
        <v>1</v>
      </c>
    </row>
    <row r="508" spans="1:9" s="18" customFormat="1" x14ac:dyDescent="0.2">
      <c r="A508" s="265"/>
      <c r="B508" s="571" t="s">
        <v>360</v>
      </c>
      <c r="C508" s="327">
        <v>2</v>
      </c>
      <c r="D508" s="327">
        <v>15.56</v>
      </c>
      <c r="E508" s="327">
        <v>0.8</v>
      </c>
      <c r="F508" s="327">
        <v>1.2</v>
      </c>
      <c r="G508" s="328">
        <f t="shared" si="8"/>
        <v>14.9376</v>
      </c>
      <c r="H508" s="328">
        <f t="shared" si="7"/>
        <v>29.8752</v>
      </c>
      <c r="I508" s="329" t="s">
        <v>1</v>
      </c>
    </row>
    <row r="509" spans="1:9" s="18" customFormat="1" x14ac:dyDescent="0.2">
      <c r="A509" s="265"/>
      <c r="B509" s="571" t="s">
        <v>361</v>
      </c>
      <c r="C509" s="327">
        <v>3</v>
      </c>
      <c r="D509" s="327">
        <v>7.02</v>
      </c>
      <c r="E509" s="327">
        <v>0.8</v>
      </c>
      <c r="F509" s="327">
        <v>1.2</v>
      </c>
      <c r="G509" s="328">
        <f t="shared" si="8"/>
        <v>6.7391999999999994</v>
      </c>
      <c r="H509" s="328">
        <f t="shared" si="7"/>
        <v>20.217599999999997</v>
      </c>
      <c r="I509" s="329" t="s">
        <v>1</v>
      </c>
    </row>
    <row r="510" spans="1:9" s="18" customFormat="1" x14ac:dyDescent="0.2">
      <c r="A510" s="265"/>
      <c r="B510" s="571" t="s">
        <v>360</v>
      </c>
      <c r="C510" s="327">
        <v>1</v>
      </c>
      <c r="D510" s="327">
        <f>16.95+4.27+11.8+3.41+3.99+8.78</f>
        <v>49.199999999999996</v>
      </c>
      <c r="E510" s="327">
        <v>0.8</v>
      </c>
      <c r="F510" s="327">
        <v>1.2</v>
      </c>
      <c r="G510" s="328">
        <f t="shared" si="8"/>
        <v>47.231999999999992</v>
      </c>
      <c r="H510" s="328">
        <f t="shared" si="7"/>
        <v>47.231999999999992</v>
      </c>
      <c r="I510" s="329" t="s">
        <v>1</v>
      </c>
    </row>
    <row r="511" spans="1:9" s="18" customFormat="1" x14ac:dyDescent="0.2">
      <c r="A511" s="265"/>
      <c r="B511" s="571" t="s">
        <v>361</v>
      </c>
      <c r="C511" s="327">
        <v>1</v>
      </c>
      <c r="D511" s="327">
        <v>16.690000000000001</v>
      </c>
      <c r="E511" s="327">
        <v>0.8</v>
      </c>
      <c r="F511" s="327">
        <v>1.2</v>
      </c>
      <c r="G511" s="328">
        <f t="shared" si="8"/>
        <v>16.022400000000001</v>
      </c>
      <c r="H511" s="328">
        <f t="shared" si="7"/>
        <v>16.022400000000001</v>
      </c>
      <c r="I511" s="329" t="s">
        <v>1</v>
      </c>
    </row>
    <row r="512" spans="1:9" s="18" customFormat="1" x14ac:dyDescent="0.2">
      <c r="A512" s="265"/>
      <c r="B512" s="571"/>
      <c r="C512" s="327">
        <v>1</v>
      </c>
      <c r="D512" s="327">
        <v>12.93</v>
      </c>
      <c r="E512" s="327">
        <v>0.8</v>
      </c>
      <c r="F512" s="327">
        <v>1.2</v>
      </c>
      <c r="G512" s="328">
        <f t="shared" si="8"/>
        <v>12.412799999999999</v>
      </c>
      <c r="H512" s="328">
        <f t="shared" si="7"/>
        <v>12.412799999999999</v>
      </c>
      <c r="I512" s="329" t="s">
        <v>1</v>
      </c>
    </row>
    <row r="513" spans="1:9" s="18" customFormat="1" x14ac:dyDescent="0.2">
      <c r="A513" s="265"/>
      <c r="B513" s="571"/>
      <c r="C513" s="327">
        <v>1</v>
      </c>
      <c r="D513" s="327">
        <v>8.0500000000000007</v>
      </c>
      <c r="E513" s="327">
        <v>0.8</v>
      </c>
      <c r="F513" s="327">
        <v>1.2</v>
      </c>
      <c r="G513" s="328">
        <f t="shared" si="8"/>
        <v>7.7280000000000006</v>
      </c>
      <c r="H513" s="328">
        <f t="shared" si="7"/>
        <v>7.7280000000000006</v>
      </c>
      <c r="I513" s="329" t="s">
        <v>1</v>
      </c>
    </row>
    <row r="514" spans="1:9" s="18" customFormat="1" x14ac:dyDescent="0.2">
      <c r="A514" s="265"/>
      <c r="B514" s="571" t="s">
        <v>362</v>
      </c>
      <c r="C514" s="327">
        <v>1</v>
      </c>
      <c r="D514" s="327">
        <v>6.17</v>
      </c>
      <c r="E514" s="327">
        <v>0.8</v>
      </c>
      <c r="F514" s="327">
        <v>1.2</v>
      </c>
      <c r="G514" s="328">
        <f t="shared" si="8"/>
        <v>5.9231999999999996</v>
      </c>
      <c r="H514" s="328">
        <f t="shared" si="7"/>
        <v>5.9231999999999996</v>
      </c>
      <c r="I514" s="329" t="s">
        <v>1</v>
      </c>
    </row>
    <row r="515" spans="1:9" s="18" customFormat="1" x14ac:dyDescent="0.2">
      <c r="A515" s="265"/>
      <c r="B515" s="571"/>
      <c r="C515" s="327">
        <v>1</v>
      </c>
      <c r="D515" s="327">
        <v>1.68</v>
      </c>
      <c r="E515" s="327">
        <v>0.8</v>
      </c>
      <c r="F515" s="327">
        <v>1.2</v>
      </c>
      <c r="G515" s="328">
        <f t="shared" si="8"/>
        <v>1.6127999999999998</v>
      </c>
      <c r="H515" s="328">
        <f t="shared" si="7"/>
        <v>1.6127999999999998</v>
      </c>
      <c r="I515" s="329" t="s">
        <v>1</v>
      </c>
    </row>
    <row r="516" spans="1:9" s="18" customFormat="1" x14ac:dyDescent="0.2">
      <c r="A516" s="265"/>
      <c r="B516" s="571"/>
      <c r="C516" s="327">
        <v>1</v>
      </c>
      <c r="D516" s="327">
        <v>1.2</v>
      </c>
      <c r="E516" s="327">
        <v>0.8</v>
      </c>
      <c r="F516" s="327">
        <v>1.2</v>
      </c>
      <c r="G516" s="328">
        <f t="shared" si="8"/>
        <v>1.1519999999999999</v>
      </c>
      <c r="H516" s="328">
        <f t="shared" si="7"/>
        <v>1.1519999999999999</v>
      </c>
      <c r="I516" s="329" t="s">
        <v>1</v>
      </c>
    </row>
    <row r="517" spans="1:9" s="18" customFormat="1" x14ac:dyDescent="0.2">
      <c r="A517" s="265"/>
      <c r="B517" s="571"/>
      <c r="C517" s="327">
        <v>1</v>
      </c>
      <c r="D517" s="327">
        <v>2.0699999999999998</v>
      </c>
      <c r="E517" s="327">
        <v>0.8</v>
      </c>
      <c r="F517" s="327">
        <v>1.2</v>
      </c>
      <c r="G517" s="328">
        <f t="shared" si="8"/>
        <v>1.9871999999999999</v>
      </c>
      <c r="H517" s="328">
        <f t="shared" si="7"/>
        <v>1.9871999999999999</v>
      </c>
      <c r="I517" s="329" t="s">
        <v>1</v>
      </c>
    </row>
    <row r="518" spans="1:9" s="18" customFormat="1" x14ac:dyDescent="0.2">
      <c r="A518" s="265"/>
      <c r="B518" s="571"/>
      <c r="C518" s="327">
        <v>1</v>
      </c>
      <c r="D518" s="327">
        <v>1.33</v>
      </c>
      <c r="E518" s="327">
        <v>0.8</v>
      </c>
      <c r="F518" s="327">
        <v>1.2</v>
      </c>
      <c r="G518" s="328">
        <f t="shared" si="8"/>
        <v>1.2767999999999999</v>
      </c>
      <c r="H518" s="328">
        <f t="shared" si="7"/>
        <v>1.2767999999999999</v>
      </c>
      <c r="I518" s="329" t="s">
        <v>1</v>
      </c>
    </row>
    <row r="519" spans="1:9" s="18" customFormat="1" x14ac:dyDescent="0.2">
      <c r="A519" s="265"/>
      <c r="B519" s="571" t="s">
        <v>363</v>
      </c>
      <c r="C519" s="327">
        <v>2</v>
      </c>
      <c r="D519" s="327">
        <v>10.87</v>
      </c>
      <c r="E519" s="327">
        <v>0.8</v>
      </c>
      <c r="F519" s="327">
        <v>1.2</v>
      </c>
      <c r="G519" s="328">
        <f t="shared" si="8"/>
        <v>10.435199999999998</v>
      </c>
      <c r="H519" s="328">
        <f t="shared" si="7"/>
        <v>20.870399999999997</v>
      </c>
      <c r="I519" s="329" t="s">
        <v>1</v>
      </c>
    </row>
    <row r="520" spans="1:9" s="18" customFormat="1" x14ac:dyDescent="0.2">
      <c r="A520" s="265"/>
      <c r="B520" s="571" t="s">
        <v>361</v>
      </c>
      <c r="C520" s="327">
        <v>2</v>
      </c>
      <c r="D520" s="327">
        <v>3.54</v>
      </c>
      <c r="E520" s="327">
        <v>0.8</v>
      </c>
      <c r="F520" s="327">
        <v>1.2</v>
      </c>
      <c r="G520" s="328">
        <f t="shared" si="8"/>
        <v>3.3984000000000001</v>
      </c>
      <c r="H520" s="328">
        <f t="shared" si="7"/>
        <v>6.7968000000000002</v>
      </c>
      <c r="I520" s="329" t="s">
        <v>1</v>
      </c>
    </row>
    <row r="521" spans="1:9" s="18" customFormat="1" x14ac:dyDescent="0.2">
      <c r="A521" s="265"/>
      <c r="B521" s="571"/>
      <c r="C521" s="327"/>
      <c r="D521" s="327"/>
      <c r="E521" s="327"/>
      <c r="F521" s="327"/>
      <c r="G521" s="328"/>
      <c r="H521" s="328"/>
      <c r="I521" s="329"/>
    </row>
    <row r="522" spans="1:9" s="18" customFormat="1" x14ac:dyDescent="0.2">
      <c r="A522" s="265"/>
      <c r="B522" s="581" t="s">
        <v>254</v>
      </c>
      <c r="C522" s="327"/>
      <c r="D522" s="327"/>
      <c r="E522" s="327"/>
      <c r="F522" s="327"/>
      <c r="G522" s="328"/>
      <c r="H522" s="328"/>
      <c r="I522" s="329"/>
    </row>
    <row r="523" spans="1:9" s="18" customFormat="1" x14ac:dyDescent="0.2">
      <c r="A523" s="265"/>
      <c r="B523" s="571" t="s">
        <v>255</v>
      </c>
      <c r="C523" s="327">
        <v>2</v>
      </c>
      <c r="D523" s="327">
        <v>1.5</v>
      </c>
      <c r="E523" s="327">
        <v>0.15</v>
      </c>
      <c r="F523" s="327">
        <v>2.8</v>
      </c>
      <c r="G523" s="328">
        <f t="shared" ref="G523:G528" si="9">F523*E523*D523</f>
        <v>0.63</v>
      </c>
      <c r="H523" s="328">
        <f t="shared" ref="H523:H528" si="10">G523*C523</f>
        <v>1.26</v>
      </c>
      <c r="I523" s="329" t="s">
        <v>1</v>
      </c>
    </row>
    <row r="524" spans="1:9" s="18" customFormat="1" x14ac:dyDescent="0.2">
      <c r="A524" s="265"/>
      <c r="B524" s="571"/>
      <c r="C524" s="327">
        <v>2</v>
      </c>
      <c r="D524" s="327">
        <v>1.98</v>
      </c>
      <c r="E524" s="327">
        <v>0.15</v>
      </c>
      <c r="F524" s="327">
        <v>1</v>
      </c>
      <c r="G524" s="328">
        <f t="shared" si="9"/>
        <v>0.29699999999999999</v>
      </c>
      <c r="H524" s="328">
        <f t="shared" si="10"/>
        <v>0.59399999999999997</v>
      </c>
      <c r="I524" s="329" t="s">
        <v>1</v>
      </c>
    </row>
    <row r="525" spans="1:9" s="18" customFormat="1" x14ac:dyDescent="0.2">
      <c r="A525" s="265"/>
      <c r="B525" s="571"/>
      <c r="C525" s="327">
        <v>1</v>
      </c>
      <c r="D525" s="327">
        <v>10.38</v>
      </c>
      <c r="E525" s="327">
        <v>0.25</v>
      </c>
      <c r="F525" s="327">
        <v>0.2</v>
      </c>
      <c r="G525" s="328">
        <f t="shared" si="9"/>
        <v>0.51900000000000002</v>
      </c>
      <c r="H525" s="328">
        <f t="shared" si="10"/>
        <v>0.51900000000000002</v>
      </c>
      <c r="I525" s="329" t="s">
        <v>1</v>
      </c>
    </row>
    <row r="526" spans="1:9" s="18" customFormat="1" x14ac:dyDescent="0.2">
      <c r="A526" s="265"/>
      <c r="B526" s="571" t="s">
        <v>256</v>
      </c>
      <c r="C526" s="327">
        <v>4</v>
      </c>
      <c r="D526" s="327">
        <v>0.6</v>
      </c>
      <c r="E526" s="327">
        <v>0.15</v>
      </c>
      <c r="F526" s="327">
        <v>3.33</v>
      </c>
      <c r="G526" s="328">
        <f t="shared" si="9"/>
        <v>0.29969999999999997</v>
      </c>
      <c r="H526" s="328">
        <f t="shared" si="10"/>
        <v>1.1987999999999999</v>
      </c>
      <c r="I526" s="329" t="s">
        <v>1</v>
      </c>
    </row>
    <row r="527" spans="1:9" s="18" customFormat="1" x14ac:dyDescent="0.2">
      <c r="A527" s="265"/>
      <c r="B527" s="571"/>
      <c r="C527" s="327">
        <v>2</v>
      </c>
      <c r="D527" s="327">
        <v>3.64</v>
      </c>
      <c r="E527" s="327">
        <v>0.15</v>
      </c>
      <c r="F527" s="327">
        <v>0.5</v>
      </c>
      <c r="G527" s="328">
        <f t="shared" si="9"/>
        <v>0.27300000000000002</v>
      </c>
      <c r="H527" s="328">
        <f t="shared" si="10"/>
        <v>0.54600000000000004</v>
      </c>
      <c r="I527" s="329" t="s">
        <v>1</v>
      </c>
    </row>
    <row r="528" spans="1:9" s="18" customFormat="1" x14ac:dyDescent="0.2">
      <c r="A528" s="265"/>
      <c r="B528" s="571"/>
      <c r="C528" s="327">
        <v>1</v>
      </c>
      <c r="D528" s="327">
        <v>10.38</v>
      </c>
      <c r="E528" s="327">
        <v>0.25</v>
      </c>
      <c r="F528" s="327">
        <v>0.2</v>
      </c>
      <c r="G528" s="328">
        <f t="shared" si="9"/>
        <v>0.51900000000000002</v>
      </c>
      <c r="H528" s="328">
        <f t="shared" si="10"/>
        <v>0.51900000000000002</v>
      </c>
      <c r="I528" s="329" t="s">
        <v>1</v>
      </c>
    </row>
    <row r="529" spans="1:9" s="18" customFormat="1" x14ac:dyDescent="0.2">
      <c r="A529" s="265"/>
      <c r="B529" s="571" t="s">
        <v>257</v>
      </c>
      <c r="C529" s="327">
        <v>1</v>
      </c>
      <c r="D529" s="327"/>
      <c r="E529" s="327">
        <v>0.15</v>
      </c>
      <c r="F529" s="327" t="s">
        <v>173</v>
      </c>
      <c r="G529" s="328">
        <f>11.46</f>
        <v>11.46</v>
      </c>
      <c r="H529" s="328">
        <f>G529*E529*C529</f>
        <v>1.7190000000000001</v>
      </c>
      <c r="I529" s="329" t="s">
        <v>1</v>
      </c>
    </row>
    <row r="530" spans="1:9" s="18" customFormat="1" x14ac:dyDescent="0.2">
      <c r="A530" s="265"/>
      <c r="B530" s="571"/>
      <c r="C530" s="327">
        <v>1</v>
      </c>
      <c r="D530" s="327"/>
      <c r="E530" s="327">
        <v>0.15</v>
      </c>
      <c r="F530" s="327" t="s">
        <v>173</v>
      </c>
      <c r="G530" s="328">
        <v>13.45</v>
      </c>
      <c r="H530" s="328">
        <f>G530*E530*C530</f>
        <v>2.0174999999999996</v>
      </c>
      <c r="I530" s="329" t="s">
        <v>1</v>
      </c>
    </row>
    <row r="531" spans="1:9" s="18" customFormat="1" x14ac:dyDescent="0.2">
      <c r="A531" s="265"/>
      <c r="B531" s="582" t="s">
        <v>258</v>
      </c>
      <c r="C531" s="368"/>
      <c r="D531" s="368"/>
      <c r="E531" s="368"/>
      <c r="F531" s="368"/>
      <c r="G531" s="369"/>
      <c r="H531" s="369"/>
      <c r="I531" s="370"/>
    </row>
    <row r="532" spans="1:9" s="18" customFormat="1" x14ac:dyDescent="0.2">
      <c r="A532" s="265"/>
      <c r="B532" s="571" t="s">
        <v>237</v>
      </c>
      <c r="C532" s="327">
        <v>5</v>
      </c>
      <c r="D532" s="327">
        <v>3.65</v>
      </c>
      <c r="E532" s="327">
        <v>0.15</v>
      </c>
      <c r="F532" s="327">
        <v>1</v>
      </c>
      <c r="G532" s="328">
        <f t="shared" ref="G532:G550" si="11">F532*E532*D532</f>
        <v>0.54749999999999999</v>
      </c>
      <c r="H532" s="328">
        <f t="shared" ref="H532:H577" si="12">G532*C532</f>
        <v>2.7374999999999998</v>
      </c>
      <c r="I532" s="329" t="s">
        <v>1</v>
      </c>
    </row>
    <row r="533" spans="1:9" s="18" customFormat="1" x14ac:dyDescent="0.2">
      <c r="A533" s="265"/>
      <c r="B533" s="571"/>
      <c r="C533" s="327">
        <v>6</v>
      </c>
      <c r="D533" s="327">
        <v>3.35</v>
      </c>
      <c r="E533" s="327">
        <v>0.15</v>
      </c>
      <c r="F533" s="327">
        <v>1</v>
      </c>
      <c r="G533" s="328">
        <f t="shared" si="11"/>
        <v>0.50249999999999995</v>
      </c>
      <c r="H533" s="328">
        <f t="shared" si="12"/>
        <v>3.0149999999999997</v>
      </c>
      <c r="I533" s="329" t="s">
        <v>1</v>
      </c>
    </row>
    <row r="534" spans="1:9" s="18" customFormat="1" x14ac:dyDescent="0.2">
      <c r="A534" s="265"/>
      <c r="B534" s="571"/>
      <c r="C534" s="327">
        <v>1</v>
      </c>
      <c r="D534" s="327">
        <v>3.38</v>
      </c>
      <c r="E534" s="327">
        <v>0.15</v>
      </c>
      <c r="F534" s="327">
        <v>1</v>
      </c>
      <c r="G534" s="328">
        <f t="shared" si="11"/>
        <v>0.50700000000000001</v>
      </c>
      <c r="H534" s="328">
        <f t="shared" si="12"/>
        <v>0.50700000000000001</v>
      </c>
      <c r="I534" s="329" t="s">
        <v>1</v>
      </c>
    </row>
    <row r="535" spans="1:9" s="18" customFormat="1" x14ac:dyDescent="0.2">
      <c r="A535" s="265"/>
      <c r="B535" s="571"/>
      <c r="C535" s="327">
        <v>2</v>
      </c>
      <c r="D535" s="327">
        <v>22.5</v>
      </c>
      <c r="E535" s="327">
        <v>0.25</v>
      </c>
      <c r="F535" s="327">
        <v>0.2</v>
      </c>
      <c r="G535" s="328">
        <f t="shared" si="11"/>
        <v>1.125</v>
      </c>
      <c r="H535" s="328">
        <f t="shared" si="12"/>
        <v>2.25</v>
      </c>
      <c r="I535" s="329" t="s">
        <v>1</v>
      </c>
    </row>
    <row r="536" spans="1:9" s="18" customFormat="1" x14ac:dyDescent="0.2">
      <c r="A536" s="265"/>
      <c r="B536" s="571" t="s">
        <v>238</v>
      </c>
      <c r="C536" s="327">
        <v>5</v>
      </c>
      <c r="D536" s="327">
        <v>3.65</v>
      </c>
      <c r="E536" s="327">
        <v>0.15</v>
      </c>
      <c r="F536" s="327">
        <v>2.2999999999999998</v>
      </c>
      <c r="G536" s="328">
        <f t="shared" si="11"/>
        <v>1.25925</v>
      </c>
      <c r="H536" s="328">
        <f t="shared" si="12"/>
        <v>6.2962499999999997</v>
      </c>
      <c r="I536" s="329" t="s">
        <v>1</v>
      </c>
    </row>
    <row r="537" spans="1:9" s="18" customFormat="1" x14ac:dyDescent="0.2">
      <c r="A537" s="265"/>
      <c r="B537" s="571"/>
      <c r="C537" s="327">
        <v>6</v>
      </c>
      <c r="D537" s="327">
        <v>3.35</v>
      </c>
      <c r="E537" s="327">
        <v>0.15</v>
      </c>
      <c r="F537" s="327">
        <v>2.2999999999999998</v>
      </c>
      <c r="G537" s="328">
        <f t="shared" si="11"/>
        <v>1.1557499999999998</v>
      </c>
      <c r="H537" s="328">
        <f t="shared" si="12"/>
        <v>6.934499999999999</v>
      </c>
      <c r="I537" s="329" t="s">
        <v>1</v>
      </c>
    </row>
    <row r="538" spans="1:9" s="18" customFormat="1" x14ac:dyDescent="0.2">
      <c r="A538" s="265"/>
      <c r="B538" s="571"/>
      <c r="C538" s="327">
        <v>2</v>
      </c>
      <c r="D538" s="327">
        <v>22.5</v>
      </c>
      <c r="E538" s="327">
        <v>0.25</v>
      </c>
      <c r="F538" s="327">
        <v>0.2</v>
      </c>
      <c r="G538" s="328">
        <f t="shared" si="11"/>
        <v>1.125</v>
      </c>
      <c r="H538" s="328">
        <f t="shared" si="12"/>
        <v>2.25</v>
      </c>
      <c r="I538" s="329" t="s">
        <v>1</v>
      </c>
    </row>
    <row r="539" spans="1:9" s="18" customFormat="1" x14ac:dyDescent="0.2">
      <c r="A539" s="265"/>
      <c r="B539" s="571" t="s">
        <v>239</v>
      </c>
      <c r="C539" s="327">
        <v>1</v>
      </c>
      <c r="D539" s="327">
        <v>2.52</v>
      </c>
      <c r="E539" s="327">
        <v>0.15</v>
      </c>
      <c r="F539" s="327">
        <v>2.2999999999999998</v>
      </c>
      <c r="G539" s="328">
        <f t="shared" si="11"/>
        <v>0.86939999999999995</v>
      </c>
      <c r="H539" s="328">
        <f t="shared" si="12"/>
        <v>0.86939999999999995</v>
      </c>
      <c r="I539" s="329" t="s">
        <v>1</v>
      </c>
    </row>
    <row r="540" spans="1:9" s="18" customFormat="1" x14ac:dyDescent="0.2">
      <c r="A540" s="265"/>
      <c r="B540" s="571"/>
      <c r="C540" s="327">
        <v>1</v>
      </c>
      <c r="D540" s="327">
        <v>3.42</v>
      </c>
      <c r="E540" s="327">
        <v>0.15</v>
      </c>
      <c r="F540" s="327">
        <v>2.2999999999999998</v>
      </c>
      <c r="G540" s="328">
        <f t="shared" si="11"/>
        <v>1.1798999999999999</v>
      </c>
      <c r="H540" s="328">
        <f t="shared" si="12"/>
        <v>1.1798999999999999</v>
      </c>
      <c r="I540" s="329" t="s">
        <v>1</v>
      </c>
    </row>
    <row r="541" spans="1:9" s="18" customFormat="1" x14ac:dyDescent="0.2">
      <c r="A541" s="265"/>
      <c r="B541" s="571"/>
      <c r="C541" s="327">
        <v>1</v>
      </c>
      <c r="D541" s="327">
        <f>0.69+1.52</f>
        <v>2.21</v>
      </c>
      <c r="E541" s="327">
        <v>0.15</v>
      </c>
      <c r="F541" s="327">
        <v>2.2999999999999998</v>
      </c>
      <c r="G541" s="328">
        <f t="shared" si="11"/>
        <v>0.76244999999999996</v>
      </c>
      <c r="H541" s="328">
        <f t="shared" si="12"/>
        <v>0.76244999999999996</v>
      </c>
      <c r="I541" s="329" t="s">
        <v>1</v>
      </c>
    </row>
    <row r="542" spans="1:9" s="18" customFormat="1" x14ac:dyDescent="0.2">
      <c r="A542" s="265"/>
      <c r="B542" s="571"/>
      <c r="C542" s="327">
        <v>2</v>
      </c>
      <c r="D542" s="327">
        <v>3.35</v>
      </c>
      <c r="E542" s="327">
        <v>0.15</v>
      </c>
      <c r="F542" s="327">
        <v>2.2999999999999998</v>
      </c>
      <c r="G542" s="328">
        <f t="shared" si="11"/>
        <v>1.1557499999999998</v>
      </c>
      <c r="H542" s="328">
        <f t="shared" si="12"/>
        <v>2.3114999999999997</v>
      </c>
      <c r="I542" s="329" t="s">
        <v>1</v>
      </c>
    </row>
    <row r="543" spans="1:9" s="18" customFormat="1" x14ac:dyDescent="0.2">
      <c r="A543" s="265"/>
      <c r="B543" s="571"/>
      <c r="C543" s="327">
        <v>1</v>
      </c>
      <c r="D543" s="327">
        <f>0.6+1.86</f>
        <v>2.46</v>
      </c>
      <c r="E543" s="327">
        <v>0.15</v>
      </c>
      <c r="F543" s="327">
        <v>2.2999999999999998</v>
      </c>
      <c r="G543" s="328">
        <f t="shared" si="11"/>
        <v>0.8486999999999999</v>
      </c>
      <c r="H543" s="328">
        <f t="shared" si="12"/>
        <v>0.8486999999999999</v>
      </c>
      <c r="I543" s="329" t="s">
        <v>1</v>
      </c>
    </row>
    <row r="544" spans="1:9" s="18" customFormat="1" x14ac:dyDescent="0.2">
      <c r="A544" s="265"/>
      <c r="B544" s="571"/>
      <c r="C544" s="327">
        <v>1</v>
      </c>
      <c r="D544" s="327">
        <v>7.99</v>
      </c>
      <c r="E544" s="327">
        <v>0.25</v>
      </c>
      <c r="F544" s="327">
        <v>0.2</v>
      </c>
      <c r="G544" s="328">
        <f t="shared" si="11"/>
        <v>0.39950000000000002</v>
      </c>
      <c r="H544" s="328">
        <f t="shared" si="12"/>
        <v>0.39950000000000002</v>
      </c>
      <c r="I544" s="329" t="s">
        <v>1</v>
      </c>
    </row>
    <row r="545" spans="1:9" s="18" customFormat="1" x14ac:dyDescent="0.2">
      <c r="A545" s="265"/>
      <c r="B545" s="571"/>
      <c r="C545" s="327">
        <v>1</v>
      </c>
      <c r="D545" s="327">
        <v>15</v>
      </c>
      <c r="E545" s="327">
        <v>0.25</v>
      </c>
      <c r="F545" s="327">
        <v>0.2</v>
      </c>
      <c r="G545" s="328">
        <f t="shared" si="11"/>
        <v>0.75</v>
      </c>
      <c r="H545" s="328">
        <f t="shared" si="12"/>
        <v>0.75</v>
      </c>
      <c r="I545" s="329" t="s">
        <v>1</v>
      </c>
    </row>
    <row r="546" spans="1:9" s="18" customFormat="1" x14ac:dyDescent="0.2">
      <c r="A546" s="265"/>
      <c r="B546" s="571" t="s">
        <v>240</v>
      </c>
      <c r="C546" s="327">
        <v>2</v>
      </c>
      <c r="D546" s="327">
        <v>3.51</v>
      </c>
      <c r="E546" s="327">
        <v>0.15</v>
      </c>
      <c r="F546" s="327">
        <v>1</v>
      </c>
      <c r="G546" s="328">
        <f t="shared" si="11"/>
        <v>0.52649999999999997</v>
      </c>
      <c r="H546" s="328">
        <f t="shared" si="12"/>
        <v>1.0529999999999999</v>
      </c>
      <c r="I546" s="329" t="s">
        <v>1</v>
      </c>
    </row>
    <row r="547" spans="1:9" s="18" customFormat="1" x14ac:dyDescent="0.2">
      <c r="A547" s="265"/>
      <c r="B547" s="571"/>
      <c r="C547" s="327">
        <v>1</v>
      </c>
      <c r="D547" s="327">
        <v>8.1300000000000008</v>
      </c>
      <c r="E547" s="327">
        <v>0.25</v>
      </c>
      <c r="F547" s="327">
        <v>0.2</v>
      </c>
      <c r="G547" s="328">
        <f t="shared" si="11"/>
        <v>0.40650000000000008</v>
      </c>
      <c r="H547" s="328">
        <f t="shared" si="12"/>
        <v>0.40650000000000008</v>
      </c>
      <c r="I547" s="329" t="s">
        <v>1</v>
      </c>
    </row>
    <row r="548" spans="1:9" s="18" customFormat="1" x14ac:dyDescent="0.2">
      <c r="A548" s="265"/>
      <c r="B548" s="571"/>
      <c r="C548" s="327">
        <v>2</v>
      </c>
      <c r="D548" s="327">
        <v>3.42</v>
      </c>
      <c r="E548" s="327">
        <v>0.15</v>
      </c>
      <c r="F548" s="327">
        <v>1</v>
      </c>
      <c r="G548" s="328">
        <f t="shared" si="11"/>
        <v>0.51300000000000001</v>
      </c>
      <c r="H548" s="328">
        <f t="shared" si="12"/>
        <v>1.026</v>
      </c>
      <c r="I548" s="329" t="s">
        <v>1</v>
      </c>
    </row>
    <row r="549" spans="1:9" s="18" customFormat="1" x14ac:dyDescent="0.2">
      <c r="A549" s="265"/>
      <c r="B549" s="571"/>
      <c r="C549" s="327">
        <v>2</v>
      </c>
      <c r="D549" s="327">
        <v>3.35</v>
      </c>
      <c r="E549" s="327">
        <v>0.15</v>
      </c>
      <c r="F549" s="327">
        <v>1</v>
      </c>
      <c r="G549" s="328">
        <f t="shared" si="11"/>
        <v>0.50249999999999995</v>
      </c>
      <c r="H549" s="328">
        <f t="shared" si="12"/>
        <v>1.0049999999999999</v>
      </c>
      <c r="I549" s="329" t="s">
        <v>1</v>
      </c>
    </row>
    <row r="550" spans="1:9" s="18" customFormat="1" x14ac:dyDescent="0.2">
      <c r="A550" s="265"/>
      <c r="B550" s="571"/>
      <c r="C550" s="327">
        <v>1</v>
      </c>
      <c r="D550" s="327">
        <v>15</v>
      </c>
      <c r="E550" s="327">
        <v>0.25</v>
      </c>
      <c r="F550" s="327">
        <v>0.2</v>
      </c>
      <c r="G550" s="328">
        <f t="shared" si="11"/>
        <v>0.75</v>
      </c>
      <c r="H550" s="328">
        <f t="shared" si="12"/>
        <v>0.75</v>
      </c>
      <c r="I550" s="329" t="s">
        <v>1</v>
      </c>
    </row>
    <row r="551" spans="1:9" s="18" customFormat="1" x14ac:dyDescent="0.2">
      <c r="A551" s="265"/>
      <c r="B551" s="571" t="s">
        <v>226</v>
      </c>
      <c r="C551" s="327">
        <v>1</v>
      </c>
      <c r="D551" s="327"/>
      <c r="E551" s="327">
        <v>0.15</v>
      </c>
      <c r="F551" s="327" t="s">
        <v>173</v>
      </c>
      <c r="G551" s="328">
        <v>24.99</v>
      </c>
      <c r="H551" s="328">
        <f>G551*E551*C551</f>
        <v>3.7484999999999995</v>
      </c>
      <c r="I551" s="329" t="s">
        <v>1</v>
      </c>
    </row>
    <row r="552" spans="1:9" s="18" customFormat="1" x14ac:dyDescent="0.2">
      <c r="A552" s="265"/>
      <c r="B552" s="571"/>
      <c r="C552" s="327">
        <v>1</v>
      </c>
      <c r="D552" s="327">
        <v>8</v>
      </c>
      <c r="E552" s="327">
        <v>0.25</v>
      </c>
      <c r="F552" s="327">
        <v>0.2</v>
      </c>
      <c r="G552" s="328">
        <f>F552*E552*D552</f>
        <v>0.4</v>
      </c>
      <c r="H552" s="328">
        <f t="shared" si="12"/>
        <v>0.4</v>
      </c>
      <c r="I552" s="329" t="s">
        <v>1</v>
      </c>
    </row>
    <row r="553" spans="1:9" s="18" customFormat="1" x14ac:dyDescent="0.2">
      <c r="A553" s="265"/>
      <c r="B553" s="571" t="s">
        <v>227</v>
      </c>
      <c r="C553" s="327">
        <v>1</v>
      </c>
      <c r="D553" s="327"/>
      <c r="E553" s="327">
        <v>0.15</v>
      </c>
      <c r="F553" s="327" t="s">
        <v>173</v>
      </c>
      <c r="G553" s="328">
        <v>25.02</v>
      </c>
      <c r="H553" s="328">
        <f>G553*E553*C553</f>
        <v>3.7529999999999997</v>
      </c>
      <c r="I553" s="329" t="s">
        <v>1</v>
      </c>
    </row>
    <row r="554" spans="1:9" s="18" customFormat="1" x14ac:dyDescent="0.2">
      <c r="A554" s="265"/>
      <c r="B554" s="571"/>
      <c r="C554" s="327">
        <v>1</v>
      </c>
      <c r="D554" s="327">
        <v>8</v>
      </c>
      <c r="E554" s="327">
        <v>0.25</v>
      </c>
      <c r="F554" s="327">
        <v>0.2</v>
      </c>
      <c r="G554" s="328">
        <f>F554*E554*D554</f>
        <v>0.4</v>
      </c>
      <c r="H554" s="328">
        <f t="shared" si="12"/>
        <v>0.4</v>
      </c>
      <c r="I554" s="329" t="s">
        <v>1</v>
      </c>
    </row>
    <row r="555" spans="1:9" s="18" customFormat="1" x14ac:dyDescent="0.2">
      <c r="A555" s="265"/>
      <c r="B555" s="571"/>
      <c r="C555" s="327">
        <v>1</v>
      </c>
      <c r="D555" s="327"/>
      <c r="E555" s="327">
        <v>0.15</v>
      </c>
      <c r="F555" s="327" t="s">
        <v>173</v>
      </c>
      <c r="G555" s="328">
        <v>24.99</v>
      </c>
      <c r="H555" s="328">
        <f>G555*E555*C555</f>
        <v>3.7484999999999995</v>
      </c>
      <c r="I555" s="329" t="s">
        <v>1</v>
      </c>
    </row>
    <row r="556" spans="1:9" s="18" customFormat="1" x14ac:dyDescent="0.2">
      <c r="A556" s="265"/>
      <c r="B556" s="571"/>
      <c r="C556" s="327">
        <v>1</v>
      </c>
      <c r="D556" s="327">
        <v>8</v>
      </c>
      <c r="E556" s="327">
        <v>0.25</v>
      </c>
      <c r="F556" s="327">
        <v>0.2</v>
      </c>
      <c r="G556" s="328">
        <f>F556*E556*D556</f>
        <v>0.4</v>
      </c>
      <c r="H556" s="328">
        <f t="shared" si="12"/>
        <v>0.4</v>
      </c>
      <c r="I556" s="329" t="s">
        <v>1</v>
      </c>
    </row>
    <row r="557" spans="1:9" s="18" customFormat="1" x14ac:dyDescent="0.2">
      <c r="A557" s="265"/>
      <c r="B557" s="571" t="s">
        <v>229</v>
      </c>
      <c r="C557" s="327">
        <v>1</v>
      </c>
      <c r="D557" s="327"/>
      <c r="E557" s="327">
        <v>0.25</v>
      </c>
      <c r="F557" s="327" t="s">
        <v>173</v>
      </c>
      <c r="G557" s="328">
        <v>25.02</v>
      </c>
      <c r="H557" s="328">
        <f>G557*E557*C557</f>
        <v>6.2549999999999999</v>
      </c>
      <c r="I557" s="329" t="s">
        <v>1</v>
      </c>
    </row>
    <row r="558" spans="1:9" s="18" customFormat="1" x14ac:dyDescent="0.2">
      <c r="A558" s="265"/>
      <c r="B558" s="571"/>
      <c r="C558" s="327">
        <v>1</v>
      </c>
      <c r="D558" s="327">
        <v>8</v>
      </c>
      <c r="E558" s="327">
        <v>0.25</v>
      </c>
      <c r="F558" s="327">
        <v>0.2</v>
      </c>
      <c r="G558" s="328">
        <f>F558*E558*D558</f>
        <v>0.4</v>
      </c>
      <c r="H558" s="328">
        <f t="shared" si="12"/>
        <v>0.4</v>
      </c>
      <c r="I558" s="329" t="s">
        <v>1</v>
      </c>
    </row>
    <row r="559" spans="1:9" s="18" customFormat="1" x14ac:dyDescent="0.2">
      <c r="A559" s="265"/>
      <c r="B559" s="571" t="s">
        <v>228</v>
      </c>
      <c r="C559" s="327">
        <v>1</v>
      </c>
      <c r="D559" s="327"/>
      <c r="E559" s="327">
        <v>0.15</v>
      </c>
      <c r="F559" s="327" t="s">
        <v>173</v>
      </c>
      <c r="G559" s="328">
        <v>24.99</v>
      </c>
      <c r="H559" s="328">
        <f>G559*E559*C559</f>
        <v>3.7484999999999995</v>
      </c>
      <c r="I559" s="329" t="s">
        <v>1</v>
      </c>
    </row>
    <row r="560" spans="1:9" s="18" customFormat="1" x14ac:dyDescent="0.2">
      <c r="A560" s="265"/>
      <c r="B560" s="571"/>
      <c r="C560" s="327">
        <v>1</v>
      </c>
      <c r="D560" s="327">
        <v>8.11</v>
      </c>
      <c r="E560" s="327">
        <v>0.25</v>
      </c>
      <c r="F560" s="327">
        <v>0.3</v>
      </c>
      <c r="G560" s="328">
        <f>F560*E560*D560</f>
        <v>0.60824999999999996</v>
      </c>
      <c r="H560" s="328"/>
      <c r="I560" s="329" t="s">
        <v>1</v>
      </c>
    </row>
    <row r="561" spans="1:9" s="18" customFormat="1" x14ac:dyDescent="0.2">
      <c r="A561" s="265"/>
      <c r="B561" s="571" t="s">
        <v>230</v>
      </c>
      <c r="C561" s="327">
        <v>1</v>
      </c>
      <c r="D561" s="327"/>
      <c r="E561" s="327">
        <v>0.25</v>
      </c>
      <c r="F561" s="327" t="s">
        <v>173</v>
      </c>
      <c r="G561" s="328">
        <v>24.99</v>
      </c>
      <c r="H561" s="328">
        <f>G561*E561*C561</f>
        <v>6.2474999999999996</v>
      </c>
      <c r="I561" s="329" t="s">
        <v>1</v>
      </c>
    </row>
    <row r="562" spans="1:9" s="18" customFormat="1" x14ac:dyDescent="0.2">
      <c r="A562" s="265"/>
      <c r="B562" s="571"/>
      <c r="C562" s="327">
        <v>1</v>
      </c>
      <c r="D562" s="327">
        <v>8.11</v>
      </c>
      <c r="E562" s="327">
        <v>0.25</v>
      </c>
      <c r="F562" s="327">
        <v>0.3</v>
      </c>
      <c r="G562" s="328">
        <f>F562*E562*D562</f>
        <v>0.60824999999999996</v>
      </c>
      <c r="H562" s="328">
        <f t="shared" si="12"/>
        <v>0.60824999999999996</v>
      </c>
      <c r="I562" s="329" t="s">
        <v>1</v>
      </c>
    </row>
    <row r="563" spans="1:9" s="18" customFormat="1" x14ac:dyDescent="0.2">
      <c r="A563" s="265"/>
      <c r="B563" s="571"/>
      <c r="C563" s="327">
        <v>1</v>
      </c>
      <c r="D563" s="327"/>
      <c r="E563" s="327">
        <v>0.25</v>
      </c>
      <c r="F563" s="327" t="s">
        <v>173</v>
      </c>
      <c r="G563" s="328">
        <v>25.02</v>
      </c>
      <c r="H563" s="328">
        <f>G563*E563*C563</f>
        <v>6.2549999999999999</v>
      </c>
      <c r="I563" s="329" t="s">
        <v>1</v>
      </c>
    </row>
    <row r="564" spans="1:9" s="18" customFormat="1" x14ac:dyDescent="0.2">
      <c r="A564" s="265"/>
      <c r="B564" s="571"/>
      <c r="C564" s="327">
        <v>1</v>
      </c>
      <c r="D564" s="327">
        <v>8</v>
      </c>
      <c r="E564" s="327">
        <v>0.25</v>
      </c>
      <c r="F564" s="327">
        <v>0.2</v>
      </c>
      <c r="G564" s="328">
        <f>F564*E564*D564</f>
        <v>0.4</v>
      </c>
      <c r="H564" s="328">
        <f t="shared" si="12"/>
        <v>0.4</v>
      </c>
      <c r="I564" s="329" t="s">
        <v>1</v>
      </c>
    </row>
    <row r="565" spans="1:9" s="18" customFormat="1" x14ac:dyDescent="0.2">
      <c r="A565" s="265"/>
      <c r="B565" s="571" t="s">
        <v>231</v>
      </c>
      <c r="C565" s="327">
        <v>1</v>
      </c>
      <c r="D565" s="327"/>
      <c r="E565" s="327">
        <v>0.15</v>
      </c>
      <c r="F565" s="327" t="s">
        <v>173</v>
      </c>
      <c r="G565" s="328">
        <v>24.99</v>
      </c>
      <c r="H565" s="328">
        <f>G565*E565*C565</f>
        <v>3.7484999999999995</v>
      </c>
      <c r="I565" s="329" t="s">
        <v>1</v>
      </c>
    </row>
    <row r="566" spans="1:9" s="18" customFormat="1" x14ac:dyDescent="0.2">
      <c r="A566" s="265"/>
      <c r="B566" s="571"/>
      <c r="C566" s="327">
        <v>1</v>
      </c>
      <c r="D566" s="327">
        <v>8.11</v>
      </c>
      <c r="E566" s="327">
        <v>0.25</v>
      </c>
      <c r="F566" s="327">
        <v>0.3</v>
      </c>
      <c r="G566" s="328">
        <f>F566*E566*D566</f>
        <v>0.60824999999999996</v>
      </c>
      <c r="H566" s="328">
        <f t="shared" si="12"/>
        <v>0.60824999999999996</v>
      </c>
      <c r="I566" s="329" t="s">
        <v>1</v>
      </c>
    </row>
    <row r="567" spans="1:9" s="18" customFormat="1" x14ac:dyDescent="0.2">
      <c r="A567" s="265"/>
      <c r="B567" s="571"/>
      <c r="C567" s="327">
        <v>1</v>
      </c>
      <c r="D567" s="327"/>
      <c r="E567" s="327">
        <v>0.15</v>
      </c>
      <c r="F567" s="327" t="s">
        <v>173</v>
      </c>
      <c r="G567" s="328">
        <v>25.02</v>
      </c>
      <c r="H567" s="328">
        <f>G567*E567*C567</f>
        <v>3.7529999999999997</v>
      </c>
      <c r="I567" s="329" t="s">
        <v>1</v>
      </c>
    </row>
    <row r="568" spans="1:9" s="18" customFormat="1" x14ac:dyDescent="0.2">
      <c r="A568" s="265"/>
      <c r="B568" s="571"/>
      <c r="C568" s="327">
        <v>1</v>
      </c>
      <c r="D568" s="327">
        <v>8</v>
      </c>
      <c r="E568" s="327">
        <v>0.25</v>
      </c>
      <c r="F568" s="327">
        <v>0.2</v>
      </c>
      <c r="G568" s="328">
        <f>F568*E568*D568</f>
        <v>0.4</v>
      </c>
      <c r="H568" s="328">
        <f t="shared" si="12"/>
        <v>0.4</v>
      </c>
      <c r="I568" s="329" t="s">
        <v>1</v>
      </c>
    </row>
    <row r="569" spans="1:9" s="18" customFormat="1" x14ac:dyDescent="0.2">
      <c r="A569" s="265"/>
      <c r="B569" s="571" t="s">
        <v>232</v>
      </c>
      <c r="C569" s="327">
        <v>1</v>
      </c>
      <c r="D569" s="327"/>
      <c r="E569" s="327">
        <v>0.15</v>
      </c>
      <c r="F569" s="327" t="s">
        <v>173</v>
      </c>
      <c r="G569" s="328">
        <v>25.02</v>
      </c>
      <c r="H569" s="328">
        <f>G569*E569*C569</f>
        <v>3.7529999999999997</v>
      </c>
      <c r="I569" s="329" t="s">
        <v>1</v>
      </c>
    </row>
    <row r="570" spans="1:9" s="18" customFormat="1" x14ac:dyDescent="0.2">
      <c r="A570" s="265"/>
      <c r="B570" s="571"/>
      <c r="C570" s="327">
        <v>1</v>
      </c>
      <c r="D570" s="327">
        <v>8</v>
      </c>
      <c r="E570" s="327">
        <v>0.25</v>
      </c>
      <c r="F570" s="327">
        <v>0.2</v>
      </c>
      <c r="G570" s="328">
        <f>F570*E570*D570</f>
        <v>0.4</v>
      </c>
      <c r="H570" s="328">
        <f t="shared" si="12"/>
        <v>0.4</v>
      </c>
      <c r="I570" s="329" t="s">
        <v>1</v>
      </c>
    </row>
    <row r="571" spans="1:9" s="18" customFormat="1" x14ac:dyDescent="0.2">
      <c r="A571" s="265"/>
      <c r="B571" s="571" t="s">
        <v>233</v>
      </c>
      <c r="C571" s="327">
        <v>1</v>
      </c>
      <c r="D571" s="327"/>
      <c r="E571" s="327">
        <v>0.25</v>
      </c>
      <c r="F571" s="327" t="s">
        <v>173</v>
      </c>
      <c r="G571" s="328">
        <v>25.02</v>
      </c>
      <c r="H571" s="328">
        <f>G571*E571*C571</f>
        <v>6.2549999999999999</v>
      </c>
      <c r="I571" s="329" t="s">
        <v>1</v>
      </c>
    </row>
    <row r="572" spans="1:9" s="18" customFormat="1" x14ac:dyDescent="0.2">
      <c r="A572" s="265"/>
      <c r="B572" s="571"/>
      <c r="C572" s="327">
        <v>1</v>
      </c>
      <c r="D572" s="327">
        <v>8</v>
      </c>
      <c r="E572" s="327">
        <v>0.25</v>
      </c>
      <c r="F572" s="327">
        <v>0.2</v>
      </c>
      <c r="G572" s="328">
        <f>F572*E572*D572</f>
        <v>0.4</v>
      </c>
      <c r="H572" s="328">
        <f t="shared" si="12"/>
        <v>0.4</v>
      </c>
      <c r="I572" s="329" t="s">
        <v>1</v>
      </c>
    </row>
    <row r="573" spans="1:9" s="18" customFormat="1" x14ac:dyDescent="0.2">
      <c r="A573" s="265"/>
      <c r="B573" s="571" t="s">
        <v>234</v>
      </c>
      <c r="C573" s="327">
        <v>1</v>
      </c>
      <c r="D573" s="327"/>
      <c r="E573" s="327">
        <v>0.25</v>
      </c>
      <c r="F573" s="327" t="s">
        <v>173</v>
      </c>
      <c r="G573" s="328">
        <v>25.02</v>
      </c>
      <c r="H573" s="328">
        <f>G573*E573*C573</f>
        <v>6.2549999999999999</v>
      </c>
      <c r="I573" s="329" t="s">
        <v>1</v>
      </c>
    </row>
    <row r="574" spans="1:9" s="18" customFormat="1" x14ac:dyDescent="0.2">
      <c r="A574" s="265"/>
      <c r="B574" s="571"/>
      <c r="C574" s="327">
        <v>1</v>
      </c>
      <c r="D574" s="327">
        <v>8</v>
      </c>
      <c r="E574" s="327">
        <v>0.25</v>
      </c>
      <c r="F574" s="327">
        <v>0.2</v>
      </c>
      <c r="G574" s="328">
        <f>F574*E574*D574</f>
        <v>0.4</v>
      </c>
      <c r="H574" s="328">
        <f t="shared" si="12"/>
        <v>0.4</v>
      </c>
      <c r="I574" s="329" t="s">
        <v>1</v>
      </c>
    </row>
    <row r="575" spans="1:9" s="18" customFormat="1" x14ac:dyDescent="0.2">
      <c r="A575" s="265"/>
      <c r="B575" s="571" t="s">
        <v>235</v>
      </c>
      <c r="C575" s="327">
        <v>1</v>
      </c>
      <c r="D575" s="327"/>
      <c r="E575" s="327">
        <v>0.15</v>
      </c>
      <c r="F575" s="327" t="s">
        <v>173</v>
      </c>
      <c r="G575" s="328">
        <v>25.02</v>
      </c>
      <c r="H575" s="328">
        <f>G575*E575*C575</f>
        <v>3.7529999999999997</v>
      </c>
      <c r="I575" s="329" t="s">
        <v>1</v>
      </c>
    </row>
    <row r="576" spans="1:9" s="18" customFormat="1" x14ac:dyDescent="0.2">
      <c r="A576" s="265"/>
      <c r="B576" s="571"/>
      <c r="C576" s="327">
        <v>1</v>
      </c>
      <c r="D576" s="327">
        <v>8</v>
      </c>
      <c r="E576" s="327">
        <v>0.25</v>
      </c>
      <c r="F576" s="327">
        <v>0.2</v>
      </c>
      <c r="G576" s="328">
        <f>F576*E576*D576</f>
        <v>0.4</v>
      </c>
      <c r="H576" s="328">
        <f t="shared" si="12"/>
        <v>0.4</v>
      </c>
      <c r="I576" s="329" t="s">
        <v>1</v>
      </c>
    </row>
    <row r="577" spans="1:9" s="18" customFormat="1" x14ac:dyDescent="0.2">
      <c r="A577" s="598"/>
      <c r="B577" s="593" t="s">
        <v>261</v>
      </c>
      <c r="C577" s="599">
        <v>1</v>
      </c>
      <c r="D577" s="599">
        <f>61.97+61.72+32.9+47.15</f>
        <v>203.74</v>
      </c>
      <c r="E577" s="599">
        <v>0.15</v>
      </c>
      <c r="F577" s="599">
        <v>0.2</v>
      </c>
      <c r="G577" s="600">
        <f>F577*E577*D577</f>
        <v>6.1121999999999996</v>
      </c>
      <c r="H577" s="600">
        <f t="shared" si="12"/>
        <v>6.1121999999999996</v>
      </c>
      <c r="I577" s="601" t="s">
        <v>1</v>
      </c>
    </row>
    <row r="578" spans="1:9" s="18" customFormat="1" x14ac:dyDescent="0.2">
      <c r="A578" s="265"/>
      <c r="B578" s="581" t="s">
        <v>259</v>
      </c>
      <c r="C578" s="327"/>
      <c r="D578" s="327"/>
      <c r="E578" s="327"/>
      <c r="F578" s="327"/>
      <c r="G578" s="328"/>
      <c r="H578" s="328"/>
      <c r="I578" s="329"/>
    </row>
    <row r="579" spans="1:9" s="18" customFormat="1" x14ac:dyDescent="0.2">
      <c r="A579" s="265"/>
      <c r="B579" s="571" t="s">
        <v>241</v>
      </c>
      <c r="C579" s="327">
        <v>1</v>
      </c>
      <c r="D579" s="327">
        <v>3.64</v>
      </c>
      <c r="E579" s="327">
        <v>0.15</v>
      </c>
      <c r="F579" s="327">
        <v>1.1200000000000001</v>
      </c>
      <c r="G579" s="328">
        <f t="shared" ref="G579:G588" si="13">F579*E579*D579</f>
        <v>0.61152000000000006</v>
      </c>
      <c r="H579" s="328">
        <f t="shared" ref="H579:H588" si="14">G579*C579</f>
        <v>0.61152000000000006</v>
      </c>
      <c r="I579" s="329" t="s">
        <v>1</v>
      </c>
    </row>
    <row r="580" spans="1:9" s="18" customFormat="1" x14ac:dyDescent="0.2">
      <c r="A580" s="265"/>
      <c r="B580" s="571"/>
      <c r="C580" s="327">
        <v>1</v>
      </c>
      <c r="D580" s="327">
        <v>3.68</v>
      </c>
      <c r="E580" s="327">
        <v>0.15</v>
      </c>
      <c r="F580" s="327">
        <v>1.1200000000000001</v>
      </c>
      <c r="G580" s="328">
        <f t="shared" si="13"/>
        <v>0.61824000000000001</v>
      </c>
      <c r="H580" s="328">
        <f t="shared" si="14"/>
        <v>0.61824000000000001</v>
      </c>
      <c r="I580" s="329" t="s">
        <v>1</v>
      </c>
    </row>
    <row r="581" spans="1:9" s="18" customFormat="1" x14ac:dyDescent="0.2">
      <c r="A581" s="265"/>
      <c r="B581" s="571"/>
      <c r="C581" s="327">
        <v>1</v>
      </c>
      <c r="D581" s="327">
        <v>3.65</v>
      </c>
      <c r="E581" s="327">
        <v>0.15</v>
      </c>
      <c r="F581" s="327">
        <v>1.1200000000000001</v>
      </c>
      <c r="G581" s="328">
        <f t="shared" si="13"/>
        <v>0.61320000000000008</v>
      </c>
      <c r="H581" s="328">
        <f t="shared" si="14"/>
        <v>0.61320000000000008</v>
      </c>
      <c r="I581" s="329" t="s">
        <v>1</v>
      </c>
    </row>
    <row r="582" spans="1:9" s="18" customFormat="1" x14ac:dyDescent="0.2">
      <c r="A582" s="265"/>
      <c r="B582" s="571"/>
      <c r="C582" s="327">
        <v>1</v>
      </c>
      <c r="D582" s="327">
        <v>3.77</v>
      </c>
      <c r="E582" s="327">
        <v>0.15</v>
      </c>
      <c r="F582" s="327">
        <v>1.1200000000000001</v>
      </c>
      <c r="G582" s="328">
        <f t="shared" si="13"/>
        <v>0.63336000000000003</v>
      </c>
      <c r="H582" s="328">
        <f t="shared" si="14"/>
        <v>0.63336000000000003</v>
      </c>
      <c r="I582" s="329" t="s">
        <v>1</v>
      </c>
    </row>
    <row r="583" spans="1:9" s="18" customFormat="1" x14ac:dyDescent="0.2">
      <c r="A583" s="265"/>
      <c r="B583" s="571" t="s">
        <v>243</v>
      </c>
      <c r="C583" s="327">
        <v>1</v>
      </c>
      <c r="D583" s="327">
        <v>2.78</v>
      </c>
      <c r="E583" s="327">
        <v>0.15</v>
      </c>
      <c r="F583" s="327">
        <v>2.2999999999999998</v>
      </c>
      <c r="G583" s="328">
        <f t="shared" si="13"/>
        <v>0.95909999999999984</v>
      </c>
      <c r="H583" s="328">
        <f t="shared" si="14"/>
        <v>0.95909999999999984</v>
      </c>
      <c r="I583" s="329" t="s">
        <v>1</v>
      </c>
    </row>
    <row r="584" spans="1:9" s="18" customFormat="1" x14ac:dyDescent="0.2">
      <c r="A584" s="265"/>
      <c r="B584" s="571"/>
      <c r="C584" s="327">
        <v>1</v>
      </c>
      <c r="D584" s="327">
        <f>0.67+1.8</f>
        <v>2.4700000000000002</v>
      </c>
      <c r="E584" s="327">
        <v>0.15</v>
      </c>
      <c r="F584" s="327">
        <v>2.2999999999999998</v>
      </c>
      <c r="G584" s="328">
        <f t="shared" si="13"/>
        <v>0.85214999999999996</v>
      </c>
      <c r="H584" s="328">
        <f t="shared" si="14"/>
        <v>0.85214999999999996</v>
      </c>
      <c r="I584" s="329" t="s">
        <v>1</v>
      </c>
    </row>
    <row r="585" spans="1:9" s="18" customFormat="1" x14ac:dyDescent="0.2">
      <c r="A585" s="265"/>
      <c r="B585" s="571"/>
      <c r="C585" s="327">
        <v>1</v>
      </c>
      <c r="D585" s="327">
        <v>1.85</v>
      </c>
      <c r="E585" s="327">
        <v>0.15</v>
      </c>
      <c r="F585" s="327">
        <v>2.2999999999999998</v>
      </c>
      <c r="G585" s="328">
        <f t="shared" si="13"/>
        <v>0.63824999999999998</v>
      </c>
      <c r="H585" s="328">
        <f t="shared" si="14"/>
        <v>0.63824999999999998</v>
      </c>
      <c r="I585" s="329" t="s">
        <v>1</v>
      </c>
    </row>
    <row r="586" spans="1:9" s="18" customFormat="1" x14ac:dyDescent="0.2">
      <c r="A586" s="265"/>
      <c r="B586" s="571" t="s">
        <v>246</v>
      </c>
      <c r="C586" s="327">
        <v>1</v>
      </c>
      <c r="D586" s="327">
        <f>1.64+0.8</f>
        <v>2.44</v>
      </c>
      <c r="E586" s="327">
        <v>0.15</v>
      </c>
      <c r="F586" s="327">
        <v>2.2999999999999998</v>
      </c>
      <c r="G586" s="328">
        <f t="shared" si="13"/>
        <v>0.84179999999999988</v>
      </c>
      <c r="H586" s="328">
        <f t="shared" si="14"/>
        <v>0.84179999999999988</v>
      </c>
      <c r="I586" s="329" t="s">
        <v>1</v>
      </c>
    </row>
    <row r="587" spans="1:9" s="18" customFormat="1" x14ac:dyDescent="0.2">
      <c r="A587" s="265"/>
      <c r="B587" s="571"/>
      <c r="C587" s="327">
        <v>1</v>
      </c>
      <c r="D587" s="327">
        <v>3.64</v>
      </c>
      <c r="E587" s="327">
        <v>0.15</v>
      </c>
      <c r="F587" s="327">
        <v>2.2999999999999998</v>
      </c>
      <c r="G587" s="328">
        <f>F587*E587*D587</f>
        <v>1.2558</v>
      </c>
      <c r="H587" s="328">
        <f>G587*C587</f>
        <v>1.2558</v>
      </c>
      <c r="I587" s="329" t="s">
        <v>1</v>
      </c>
    </row>
    <row r="588" spans="1:9" s="18" customFormat="1" x14ac:dyDescent="0.2">
      <c r="A588" s="265"/>
      <c r="B588" s="571" t="s">
        <v>260</v>
      </c>
      <c r="C588" s="327">
        <v>2</v>
      </c>
      <c r="D588" s="327">
        <v>3.64</v>
      </c>
      <c r="E588" s="327">
        <v>0.15</v>
      </c>
      <c r="F588" s="327">
        <v>1.1200000000000001</v>
      </c>
      <c r="G588" s="328">
        <f t="shared" si="13"/>
        <v>0.61152000000000006</v>
      </c>
      <c r="H588" s="328">
        <f t="shared" si="14"/>
        <v>1.2230400000000001</v>
      </c>
      <c r="I588" s="329" t="s">
        <v>1</v>
      </c>
    </row>
    <row r="589" spans="1:9" s="18" customFormat="1" x14ac:dyDescent="0.2">
      <c r="A589" s="265"/>
      <c r="B589" s="571" t="s">
        <v>248</v>
      </c>
      <c r="C589" s="327">
        <v>1</v>
      </c>
      <c r="D589" s="327"/>
      <c r="E589" s="327">
        <v>0.15</v>
      </c>
      <c r="F589" s="327" t="s">
        <v>173</v>
      </c>
      <c r="G589" s="328">
        <v>18.079999999999998</v>
      </c>
      <c r="H589" s="328">
        <f>G589*E589*C589</f>
        <v>2.7119999999999997</v>
      </c>
      <c r="I589" s="329" t="s">
        <v>1</v>
      </c>
    </row>
    <row r="590" spans="1:9" s="18" customFormat="1" x14ac:dyDescent="0.2">
      <c r="A590" s="265"/>
      <c r="B590" s="571" t="s">
        <v>250</v>
      </c>
      <c r="C590" s="327">
        <v>1</v>
      </c>
      <c r="D590" s="327"/>
      <c r="E590" s="327">
        <v>0.15</v>
      </c>
      <c r="F590" s="327" t="s">
        <v>173</v>
      </c>
      <c r="G590" s="328">
        <v>18.079999999999998</v>
      </c>
      <c r="H590" s="328">
        <f>G590*E590*C590</f>
        <v>2.7119999999999997</v>
      </c>
      <c r="I590" s="329" t="s">
        <v>1</v>
      </c>
    </row>
    <row r="591" spans="1:9" s="18" customFormat="1" x14ac:dyDescent="0.2">
      <c r="A591" s="265"/>
      <c r="B591" s="571" t="s">
        <v>251</v>
      </c>
      <c r="C591" s="327">
        <v>1</v>
      </c>
      <c r="D591" s="327"/>
      <c r="E591" s="327">
        <v>0.15</v>
      </c>
      <c r="F591" s="327" t="s">
        <v>173</v>
      </c>
      <c r="G591" s="328">
        <v>27.08</v>
      </c>
      <c r="H591" s="328">
        <f>G591*E591*C591</f>
        <v>4.0619999999999994</v>
      </c>
      <c r="I591" s="329" t="s">
        <v>1</v>
      </c>
    </row>
    <row r="592" spans="1:9" s="18" customFormat="1" x14ac:dyDescent="0.2">
      <c r="A592" s="265"/>
      <c r="B592" s="571" t="s">
        <v>253</v>
      </c>
      <c r="C592" s="327">
        <v>1</v>
      </c>
      <c r="D592" s="327"/>
      <c r="E592" s="327">
        <v>0.15</v>
      </c>
      <c r="F592" s="327" t="s">
        <v>173</v>
      </c>
      <c r="G592" s="328">
        <v>27.08</v>
      </c>
      <c r="H592" s="328">
        <f>G592*E592*C592</f>
        <v>4.0619999999999994</v>
      </c>
      <c r="I592" s="329" t="s">
        <v>1</v>
      </c>
    </row>
    <row r="593" spans="1:9" s="18" customFormat="1" x14ac:dyDescent="0.2">
      <c r="A593" s="265"/>
      <c r="B593" s="571"/>
      <c r="C593" s="327">
        <v>1</v>
      </c>
      <c r="D593" s="327"/>
      <c r="E593" s="327">
        <v>0.15</v>
      </c>
      <c r="F593" s="327" t="s">
        <v>173</v>
      </c>
      <c r="G593" s="328">
        <v>18.079999999999998</v>
      </c>
      <c r="H593" s="328">
        <f>G593*E593*C593</f>
        <v>2.7119999999999997</v>
      </c>
      <c r="I593" s="329" t="s">
        <v>1</v>
      </c>
    </row>
    <row r="594" spans="1:9" s="18" customFormat="1" x14ac:dyDescent="0.2">
      <c r="A594" s="265"/>
      <c r="B594" s="571" t="s">
        <v>261</v>
      </c>
      <c r="C594" s="327">
        <v>1</v>
      </c>
      <c r="D594" s="327">
        <v>70.13</v>
      </c>
      <c r="E594" s="327">
        <v>0.15</v>
      </c>
      <c r="F594" s="327">
        <v>0.2</v>
      </c>
      <c r="G594" s="328">
        <f>F594*E594*D594</f>
        <v>2.1038999999999999</v>
      </c>
      <c r="H594" s="328">
        <f>G594*C594</f>
        <v>2.1038999999999999</v>
      </c>
      <c r="I594" s="329" t="s">
        <v>1</v>
      </c>
    </row>
    <row r="595" spans="1:9" s="18" customFormat="1" x14ac:dyDescent="0.2">
      <c r="A595" s="265"/>
      <c r="B595" s="581" t="s">
        <v>262</v>
      </c>
      <c r="C595" s="327"/>
      <c r="D595" s="327"/>
      <c r="E595" s="327"/>
      <c r="F595" s="327"/>
      <c r="G595" s="328"/>
      <c r="H595" s="328"/>
      <c r="I595" s="329"/>
    </row>
    <row r="596" spans="1:9" s="18" customFormat="1" x14ac:dyDescent="0.2">
      <c r="A596" s="265"/>
      <c r="B596" s="571" t="s">
        <v>263</v>
      </c>
      <c r="C596" s="327">
        <v>1</v>
      </c>
      <c r="D596" s="327">
        <v>2.31</v>
      </c>
      <c r="E596" s="327">
        <v>0.15</v>
      </c>
      <c r="F596" s="327">
        <v>1</v>
      </c>
      <c r="G596" s="328">
        <f>F596*E596*D596</f>
        <v>0.34649999999999997</v>
      </c>
      <c r="H596" s="328">
        <f>G596*C596</f>
        <v>0.34649999999999997</v>
      </c>
      <c r="I596" s="329" t="s">
        <v>1</v>
      </c>
    </row>
    <row r="597" spans="1:9" s="18" customFormat="1" x14ac:dyDescent="0.2">
      <c r="A597" s="265"/>
      <c r="B597" s="571" t="s">
        <v>264</v>
      </c>
      <c r="C597" s="327">
        <v>1</v>
      </c>
      <c r="D597" s="327">
        <f>3.55+3.51+3.67</f>
        <v>10.73</v>
      </c>
      <c r="E597" s="327">
        <v>0.15</v>
      </c>
      <c r="F597" s="327">
        <v>1</v>
      </c>
      <c r="G597" s="328">
        <f>F597*E597*D597</f>
        <v>1.6094999999999999</v>
      </c>
      <c r="H597" s="328">
        <f>G597*C597</f>
        <v>1.6094999999999999</v>
      </c>
      <c r="I597" s="329" t="s">
        <v>1</v>
      </c>
    </row>
    <row r="598" spans="1:9" s="18" customFormat="1" x14ac:dyDescent="0.2">
      <c r="A598" s="265"/>
      <c r="B598" s="571" t="s">
        <v>265</v>
      </c>
      <c r="C598" s="327">
        <v>1</v>
      </c>
      <c r="D598" s="327">
        <v>10.3</v>
      </c>
      <c r="E598" s="327">
        <v>0.15</v>
      </c>
      <c r="F598" s="327">
        <v>1</v>
      </c>
      <c r="G598" s="328">
        <f>F598*E598*D598</f>
        <v>1.5450000000000002</v>
      </c>
      <c r="H598" s="328">
        <f>G598*C598</f>
        <v>1.5450000000000002</v>
      </c>
      <c r="I598" s="329" t="s">
        <v>1</v>
      </c>
    </row>
    <row r="599" spans="1:9" s="18" customFormat="1" x14ac:dyDescent="0.2">
      <c r="A599" s="265"/>
      <c r="B599" s="571" t="s">
        <v>266</v>
      </c>
      <c r="C599" s="327">
        <v>1</v>
      </c>
      <c r="D599" s="327">
        <f>3.56+3.65+5.93</f>
        <v>13.14</v>
      </c>
      <c r="E599" s="327">
        <v>0.15</v>
      </c>
      <c r="F599" s="327">
        <v>1</v>
      </c>
      <c r="G599" s="328">
        <f>F599*E599*D599</f>
        <v>1.9710000000000001</v>
      </c>
      <c r="H599" s="328">
        <f>G599*C599</f>
        <v>1.9710000000000001</v>
      </c>
      <c r="I599" s="329" t="s">
        <v>1</v>
      </c>
    </row>
    <row r="600" spans="1:9" s="18" customFormat="1" x14ac:dyDescent="0.2">
      <c r="A600" s="265"/>
      <c r="B600" s="571" t="s">
        <v>267</v>
      </c>
      <c r="C600" s="327">
        <v>1</v>
      </c>
      <c r="D600" s="327">
        <f>2.31+10.73+10.3+13.14</f>
        <v>36.480000000000004</v>
      </c>
      <c r="E600" s="327">
        <v>0.15</v>
      </c>
      <c r="F600" s="327">
        <v>0.2</v>
      </c>
      <c r="G600" s="328">
        <f>F600*E600*D600</f>
        <v>1.0944</v>
      </c>
      <c r="H600" s="328">
        <f>G600*C600</f>
        <v>1.0944</v>
      </c>
      <c r="I600" s="329" t="s">
        <v>1</v>
      </c>
    </row>
    <row r="601" spans="1:9" s="18" customFormat="1" x14ac:dyDescent="0.2">
      <c r="A601" s="265"/>
      <c r="B601" s="581" t="s">
        <v>273</v>
      </c>
      <c r="C601" s="327"/>
      <c r="D601" s="327"/>
      <c r="E601" s="327"/>
      <c r="F601" s="327"/>
      <c r="G601" s="328"/>
      <c r="H601" s="328"/>
      <c r="I601" s="329"/>
    </row>
    <row r="602" spans="1:9" s="18" customFormat="1" x14ac:dyDescent="0.2">
      <c r="A602" s="265"/>
      <c r="B602" s="571" t="s">
        <v>275</v>
      </c>
      <c r="C602" s="327">
        <v>46</v>
      </c>
      <c r="D602" s="327">
        <v>0.4</v>
      </c>
      <c r="E602" s="327">
        <v>0.25</v>
      </c>
      <c r="F602" s="327">
        <v>6.3</v>
      </c>
      <c r="G602" s="328">
        <f t="shared" ref="G602:G612" si="15">F602*E602*D602</f>
        <v>0.63</v>
      </c>
      <c r="H602" s="328">
        <f t="shared" ref="H602:H612" si="16">G602*C602</f>
        <v>28.98</v>
      </c>
      <c r="I602" s="329" t="s">
        <v>1</v>
      </c>
    </row>
    <row r="603" spans="1:9" s="18" customFormat="1" x14ac:dyDescent="0.2">
      <c r="A603" s="265"/>
      <c r="B603" s="571"/>
      <c r="C603" s="327">
        <v>20</v>
      </c>
      <c r="D603" s="327">
        <v>0.35</v>
      </c>
      <c r="E603" s="327">
        <v>0.35</v>
      </c>
      <c r="F603" s="327">
        <v>3</v>
      </c>
      <c r="G603" s="328">
        <f t="shared" si="15"/>
        <v>0.36749999999999994</v>
      </c>
      <c r="H603" s="328">
        <f t="shared" si="16"/>
        <v>7.3499999999999988</v>
      </c>
      <c r="I603" s="329" t="s">
        <v>1</v>
      </c>
    </row>
    <row r="604" spans="1:9" s="18" customFormat="1" x14ac:dyDescent="0.2">
      <c r="A604" s="265"/>
      <c r="B604" s="571"/>
      <c r="C604" s="327">
        <v>6</v>
      </c>
      <c r="D604" s="327">
        <v>0.35</v>
      </c>
      <c r="E604" s="327">
        <v>0.35</v>
      </c>
      <c r="F604" s="327">
        <v>2.85</v>
      </c>
      <c r="G604" s="328">
        <f t="shared" si="15"/>
        <v>0.34912499999999996</v>
      </c>
      <c r="H604" s="328">
        <f t="shared" si="16"/>
        <v>2.0947499999999999</v>
      </c>
      <c r="I604" s="329" t="s">
        <v>1</v>
      </c>
    </row>
    <row r="605" spans="1:9" s="18" customFormat="1" x14ac:dyDescent="0.2">
      <c r="A605" s="265"/>
      <c r="B605" s="571" t="s">
        <v>276</v>
      </c>
      <c r="C605" s="327">
        <v>14</v>
      </c>
      <c r="D605" s="327">
        <v>7.41</v>
      </c>
      <c r="E605" s="327">
        <v>0.25</v>
      </c>
      <c r="F605" s="327">
        <v>0.15</v>
      </c>
      <c r="G605" s="328">
        <f t="shared" si="15"/>
        <v>0.27787499999999998</v>
      </c>
      <c r="H605" s="328">
        <f t="shared" si="16"/>
        <v>3.89025</v>
      </c>
      <c r="I605" s="329" t="s">
        <v>1</v>
      </c>
    </row>
    <row r="606" spans="1:9" s="18" customFormat="1" x14ac:dyDescent="0.2">
      <c r="A606" s="265"/>
      <c r="B606" s="571"/>
      <c r="C606" s="327">
        <v>7</v>
      </c>
      <c r="D606" s="327">
        <v>7.5</v>
      </c>
      <c r="E606" s="327">
        <v>0.25</v>
      </c>
      <c r="F606" s="327">
        <v>0.15</v>
      </c>
      <c r="G606" s="328">
        <f t="shared" si="15"/>
        <v>0.28125</v>
      </c>
      <c r="H606" s="328">
        <f t="shared" si="16"/>
        <v>1.96875</v>
      </c>
      <c r="I606" s="329" t="s">
        <v>1</v>
      </c>
    </row>
    <row r="607" spans="1:9" s="18" customFormat="1" x14ac:dyDescent="0.2">
      <c r="A607" s="265"/>
      <c r="B607" s="571"/>
      <c r="C607" s="327">
        <v>3</v>
      </c>
      <c r="D607" s="327">
        <v>2.4300000000000002</v>
      </c>
      <c r="E607" s="327">
        <v>0.25</v>
      </c>
      <c r="F607" s="327">
        <v>0.15</v>
      </c>
      <c r="G607" s="328">
        <f t="shared" si="15"/>
        <v>9.1124999999999998E-2</v>
      </c>
      <c r="H607" s="328">
        <f t="shared" si="16"/>
        <v>0.27337499999999998</v>
      </c>
      <c r="I607" s="329" t="s">
        <v>1</v>
      </c>
    </row>
    <row r="608" spans="1:9" s="18" customFormat="1" x14ac:dyDescent="0.2">
      <c r="A608" s="265"/>
      <c r="B608" s="571"/>
      <c r="C608" s="327">
        <v>19</v>
      </c>
      <c r="D608" s="327">
        <v>2.33</v>
      </c>
      <c r="E608" s="327">
        <v>0.25</v>
      </c>
      <c r="F608" s="327">
        <v>0.15</v>
      </c>
      <c r="G608" s="328">
        <f t="shared" si="15"/>
        <v>8.7374999999999994E-2</v>
      </c>
      <c r="H608" s="328">
        <f t="shared" si="16"/>
        <v>1.6601249999999999</v>
      </c>
      <c r="I608" s="329" t="s">
        <v>1</v>
      </c>
    </row>
    <row r="609" spans="1:9" s="18" customFormat="1" x14ac:dyDescent="0.2">
      <c r="A609" s="265"/>
      <c r="B609" s="571"/>
      <c r="C609" s="327">
        <v>4</v>
      </c>
      <c r="D609" s="327">
        <v>3.64</v>
      </c>
      <c r="E609" s="327">
        <v>0.25</v>
      </c>
      <c r="F609" s="327">
        <v>0.15</v>
      </c>
      <c r="G609" s="328">
        <f t="shared" si="15"/>
        <v>0.13650000000000001</v>
      </c>
      <c r="H609" s="328">
        <f t="shared" si="16"/>
        <v>0.54600000000000004</v>
      </c>
      <c r="I609" s="329" t="s">
        <v>1</v>
      </c>
    </row>
    <row r="610" spans="1:9" s="18" customFormat="1" x14ac:dyDescent="0.2">
      <c r="A610" s="265"/>
      <c r="B610" s="571"/>
      <c r="C610" s="327">
        <v>4</v>
      </c>
      <c r="D610" s="327">
        <v>5.7</v>
      </c>
      <c r="E610" s="327">
        <v>0.25</v>
      </c>
      <c r="F610" s="327">
        <v>0.15</v>
      </c>
      <c r="G610" s="328">
        <f t="shared" si="15"/>
        <v>0.21375</v>
      </c>
      <c r="H610" s="328">
        <f t="shared" si="16"/>
        <v>0.85499999999999998</v>
      </c>
      <c r="I610" s="329" t="s">
        <v>1</v>
      </c>
    </row>
    <row r="611" spans="1:9" s="18" customFormat="1" x14ac:dyDescent="0.2">
      <c r="A611" s="265"/>
      <c r="B611" s="571"/>
      <c r="C611" s="327">
        <v>3</v>
      </c>
      <c r="D611" s="327">
        <v>6.95</v>
      </c>
      <c r="E611" s="327">
        <v>0.25</v>
      </c>
      <c r="F611" s="327">
        <v>0.15</v>
      </c>
      <c r="G611" s="328">
        <f t="shared" si="15"/>
        <v>0.260625</v>
      </c>
      <c r="H611" s="328">
        <f t="shared" si="16"/>
        <v>0.78187499999999999</v>
      </c>
      <c r="I611" s="329" t="s">
        <v>1</v>
      </c>
    </row>
    <row r="612" spans="1:9" s="18" customFormat="1" x14ac:dyDescent="0.2">
      <c r="A612" s="265"/>
      <c r="B612" s="571" t="s">
        <v>277</v>
      </c>
      <c r="C612" s="327">
        <v>14</v>
      </c>
      <c r="D612" s="327">
        <v>8.49</v>
      </c>
      <c r="E612" s="327">
        <v>0.25</v>
      </c>
      <c r="F612" s="327">
        <v>0.15</v>
      </c>
      <c r="G612" s="328">
        <f t="shared" si="15"/>
        <v>0.31837500000000002</v>
      </c>
      <c r="H612" s="328">
        <f t="shared" si="16"/>
        <v>4.4572500000000002</v>
      </c>
      <c r="I612" s="329" t="s">
        <v>1</v>
      </c>
    </row>
    <row r="613" spans="1:9" s="18" customFormat="1" x14ac:dyDescent="0.2">
      <c r="A613" s="265"/>
      <c r="B613" s="571"/>
      <c r="C613" s="327">
        <v>7</v>
      </c>
      <c r="D613" s="327">
        <v>8.4499999999999993</v>
      </c>
      <c r="E613" s="327">
        <v>0.25</v>
      </c>
      <c r="F613" s="327">
        <v>0.15</v>
      </c>
      <c r="G613" s="328">
        <f t="shared" ref="G613:G618" si="17">F613*E613*D613</f>
        <v>0.31687499999999996</v>
      </c>
      <c r="H613" s="328">
        <f t="shared" ref="H613:H618" si="18">G613*C613</f>
        <v>2.2181249999999997</v>
      </c>
      <c r="I613" s="329" t="s">
        <v>1</v>
      </c>
    </row>
    <row r="614" spans="1:9" s="18" customFormat="1" x14ac:dyDescent="0.2">
      <c r="A614" s="265"/>
      <c r="B614" s="571"/>
      <c r="C614" s="327">
        <v>4</v>
      </c>
      <c r="D614" s="327">
        <v>6.67</v>
      </c>
      <c r="E614" s="327">
        <v>0.25</v>
      </c>
      <c r="F614" s="327">
        <v>0.15</v>
      </c>
      <c r="G614" s="328">
        <f t="shared" si="17"/>
        <v>0.25012499999999999</v>
      </c>
      <c r="H614" s="328">
        <f t="shared" si="18"/>
        <v>1.0004999999999999</v>
      </c>
      <c r="I614" s="329" t="s">
        <v>1</v>
      </c>
    </row>
    <row r="615" spans="1:9" s="18" customFormat="1" x14ac:dyDescent="0.2">
      <c r="A615" s="265"/>
      <c r="B615" s="571"/>
      <c r="C615" s="327">
        <v>3</v>
      </c>
      <c r="D615" s="327">
        <v>9.4</v>
      </c>
      <c r="E615" s="327">
        <v>0.25</v>
      </c>
      <c r="F615" s="327">
        <v>0.15</v>
      </c>
      <c r="G615" s="328">
        <f t="shared" si="17"/>
        <v>0.35249999999999998</v>
      </c>
      <c r="H615" s="328">
        <f t="shared" si="18"/>
        <v>1.0574999999999999</v>
      </c>
      <c r="I615" s="329" t="s">
        <v>1</v>
      </c>
    </row>
    <row r="616" spans="1:9" s="18" customFormat="1" x14ac:dyDescent="0.2">
      <c r="A616" s="265"/>
      <c r="B616" s="571"/>
      <c r="C616" s="327">
        <v>3</v>
      </c>
      <c r="D616" s="327">
        <v>2.4300000000000002</v>
      </c>
      <c r="E616" s="327">
        <v>0.25</v>
      </c>
      <c r="F616" s="327">
        <v>0.15</v>
      </c>
      <c r="G616" s="328">
        <f t="shared" si="17"/>
        <v>9.1124999999999998E-2</v>
      </c>
      <c r="H616" s="328">
        <f t="shared" si="18"/>
        <v>0.27337499999999998</v>
      </c>
      <c r="I616" s="329" t="s">
        <v>1</v>
      </c>
    </row>
    <row r="617" spans="1:9" s="18" customFormat="1" x14ac:dyDescent="0.2">
      <c r="A617" s="265"/>
      <c r="B617" s="571"/>
      <c r="C617" s="327">
        <v>19</v>
      </c>
      <c r="D617" s="327">
        <v>2.33</v>
      </c>
      <c r="E617" s="327">
        <v>0.25</v>
      </c>
      <c r="F617" s="327">
        <v>0.15</v>
      </c>
      <c r="G617" s="328">
        <f t="shared" si="17"/>
        <v>8.7374999999999994E-2</v>
      </c>
      <c r="H617" s="328">
        <f t="shared" si="18"/>
        <v>1.6601249999999999</v>
      </c>
      <c r="I617" s="329" t="s">
        <v>1</v>
      </c>
    </row>
    <row r="618" spans="1:9" s="18" customFormat="1" x14ac:dyDescent="0.2">
      <c r="A618" s="265"/>
      <c r="B618" s="571"/>
      <c r="C618" s="327">
        <v>4</v>
      </c>
      <c r="D618" s="327">
        <v>3.64</v>
      </c>
      <c r="E618" s="327">
        <v>0.25</v>
      </c>
      <c r="F618" s="327">
        <v>0.15</v>
      </c>
      <c r="G618" s="328">
        <f t="shared" si="17"/>
        <v>0.13650000000000001</v>
      </c>
      <c r="H618" s="328">
        <f t="shared" si="18"/>
        <v>0.54600000000000004</v>
      </c>
      <c r="I618" s="329" t="s">
        <v>1</v>
      </c>
    </row>
    <row r="619" spans="1:9" s="18" customFormat="1" x14ac:dyDescent="0.2">
      <c r="A619" s="265"/>
      <c r="B619" s="571" t="s">
        <v>274</v>
      </c>
      <c r="C619" s="327">
        <v>1</v>
      </c>
      <c r="D619" s="711">
        <f>57.21+56.48+56.93+55.12+56.49+57.22+59.46+55.57+58.01</f>
        <v>512.49</v>
      </c>
      <c r="E619" s="712"/>
      <c r="F619" s="327">
        <v>0.15</v>
      </c>
      <c r="G619" s="328">
        <f t="shared" ref="G619:G634" si="19">D619*F619</f>
        <v>76.873499999999993</v>
      </c>
      <c r="H619" s="328">
        <f t="shared" ref="H619:H634" si="20">G619*C619</f>
        <v>76.873499999999993</v>
      </c>
      <c r="I619" s="329" t="s">
        <v>1</v>
      </c>
    </row>
    <row r="620" spans="1:9" s="18" customFormat="1" x14ac:dyDescent="0.2">
      <c r="A620" s="265"/>
      <c r="B620" s="571"/>
      <c r="C620" s="327">
        <v>1</v>
      </c>
      <c r="D620" s="711">
        <f>43.01+170.75</f>
        <v>213.76</v>
      </c>
      <c r="E620" s="712"/>
      <c r="F620" s="327">
        <v>0.15</v>
      </c>
      <c r="G620" s="328">
        <f t="shared" si="19"/>
        <v>32.064</v>
      </c>
      <c r="H620" s="328">
        <f t="shared" si="20"/>
        <v>32.064</v>
      </c>
      <c r="I620" s="329" t="s">
        <v>1</v>
      </c>
    </row>
    <row r="621" spans="1:9" s="18" customFormat="1" x14ac:dyDescent="0.2">
      <c r="A621" s="265"/>
      <c r="B621" s="571" t="s">
        <v>60</v>
      </c>
      <c r="C621" s="327">
        <v>1</v>
      </c>
      <c r="D621" s="711">
        <f>25.63+179.74+21.16+2.19+44.46+4.64+53.21+16.52+16.1+52.67+110.21+106.38</f>
        <v>632.91</v>
      </c>
      <c r="E621" s="712"/>
      <c r="F621" s="327">
        <v>0.15</v>
      </c>
      <c r="G621" s="328">
        <f t="shared" si="19"/>
        <v>94.936499999999995</v>
      </c>
      <c r="H621" s="328">
        <f t="shared" si="20"/>
        <v>94.936499999999995</v>
      </c>
      <c r="I621" s="329" t="s">
        <v>1</v>
      </c>
    </row>
    <row r="622" spans="1:9" s="18" customFormat="1" x14ac:dyDescent="0.2">
      <c r="A622" s="265"/>
      <c r="B622" s="571" t="s">
        <v>268</v>
      </c>
      <c r="C622" s="327">
        <v>1</v>
      </c>
      <c r="D622" s="711">
        <f>12.24+1.2</f>
        <v>13.44</v>
      </c>
      <c r="E622" s="712"/>
      <c r="F622" s="327">
        <v>0.1</v>
      </c>
      <c r="G622" s="328">
        <f t="shared" si="19"/>
        <v>1.3440000000000001</v>
      </c>
      <c r="H622" s="328">
        <f t="shared" si="20"/>
        <v>1.3440000000000001</v>
      </c>
      <c r="I622" s="329" t="s">
        <v>1</v>
      </c>
    </row>
    <row r="623" spans="1:9" s="18" customFormat="1" x14ac:dyDescent="0.2">
      <c r="A623" s="265"/>
      <c r="B623" s="571" t="s">
        <v>269</v>
      </c>
      <c r="C623" s="327">
        <v>1</v>
      </c>
      <c r="D623" s="711">
        <f>0.327</f>
        <v>0.32700000000000001</v>
      </c>
      <c r="E623" s="712"/>
      <c r="F623" s="327">
        <v>4.88</v>
      </c>
      <c r="G623" s="328">
        <f t="shared" si="19"/>
        <v>1.5957600000000001</v>
      </c>
      <c r="H623" s="328">
        <f t="shared" si="20"/>
        <v>1.5957600000000001</v>
      </c>
      <c r="I623" s="329" t="s">
        <v>1</v>
      </c>
    </row>
    <row r="624" spans="1:9" s="18" customFormat="1" x14ac:dyDescent="0.2">
      <c r="A624" s="265"/>
      <c r="B624" s="571"/>
      <c r="C624" s="327">
        <v>1</v>
      </c>
      <c r="D624" s="711">
        <f>0.327</f>
        <v>0.32700000000000001</v>
      </c>
      <c r="E624" s="712"/>
      <c r="F624" s="327">
        <v>7.64</v>
      </c>
      <c r="G624" s="328">
        <f t="shared" si="19"/>
        <v>2.4982799999999998</v>
      </c>
      <c r="H624" s="328">
        <f t="shared" si="20"/>
        <v>2.4982799999999998</v>
      </c>
      <c r="I624" s="329" t="s">
        <v>1</v>
      </c>
    </row>
    <row r="625" spans="1:9" s="18" customFormat="1" x14ac:dyDescent="0.2">
      <c r="A625" s="265"/>
      <c r="B625" s="571"/>
      <c r="C625" s="327">
        <v>1</v>
      </c>
      <c r="D625" s="711">
        <v>0.46700000000000003</v>
      </c>
      <c r="E625" s="712"/>
      <c r="F625" s="327">
        <v>3.48</v>
      </c>
      <c r="G625" s="328">
        <f t="shared" si="19"/>
        <v>1.6251600000000002</v>
      </c>
      <c r="H625" s="328">
        <f t="shared" si="20"/>
        <v>1.6251600000000002</v>
      </c>
      <c r="I625" s="329" t="s">
        <v>1</v>
      </c>
    </row>
    <row r="626" spans="1:9" s="18" customFormat="1" x14ac:dyDescent="0.2">
      <c r="A626" s="265"/>
      <c r="B626" s="571"/>
      <c r="C626" s="327">
        <v>1</v>
      </c>
      <c r="D626" s="711">
        <v>1.77</v>
      </c>
      <c r="E626" s="712"/>
      <c r="F626" s="327">
        <v>3.48</v>
      </c>
      <c r="G626" s="328">
        <f t="shared" si="19"/>
        <v>6.1596000000000002</v>
      </c>
      <c r="H626" s="328">
        <f t="shared" si="20"/>
        <v>6.1596000000000002</v>
      </c>
      <c r="I626" s="329" t="s">
        <v>1</v>
      </c>
    </row>
    <row r="627" spans="1:9" s="18" customFormat="1" x14ac:dyDescent="0.2">
      <c r="A627" s="265"/>
      <c r="B627" s="571"/>
      <c r="C627" s="327">
        <v>1</v>
      </c>
      <c r="D627" s="711">
        <v>1.9</v>
      </c>
      <c r="E627" s="712"/>
      <c r="F627" s="327">
        <v>0.8</v>
      </c>
      <c r="G627" s="328">
        <f t="shared" si="19"/>
        <v>1.52</v>
      </c>
      <c r="H627" s="328">
        <f t="shared" si="20"/>
        <v>1.52</v>
      </c>
      <c r="I627" s="329" t="s">
        <v>1</v>
      </c>
    </row>
    <row r="628" spans="1:9" s="18" customFormat="1" x14ac:dyDescent="0.2">
      <c r="A628" s="265"/>
      <c r="B628" s="571"/>
      <c r="C628" s="327">
        <v>1</v>
      </c>
      <c r="D628" s="711">
        <v>0.56999999999999995</v>
      </c>
      <c r="E628" s="712"/>
      <c r="F628" s="327">
        <v>0.7</v>
      </c>
      <c r="G628" s="328">
        <f t="shared" si="19"/>
        <v>0.39899999999999997</v>
      </c>
      <c r="H628" s="328">
        <f t="shared" si="20"/>
        <v>0.39899999999999997</v>
      </c>
      <c r="I628" s="329" t="s">
        <v>1</v>
      </c>
    </row>
    <row r="629" spans="1:9" s="18" customFormat="1" x14ac:dyDescent="0.2">
      <c r="A629" s="265"/>
      <c r="B629" s="571"/>
      <c r="C629" s="327">
        <v>1</v>
      </c>
      <c r="D629" s="711">
        <v>0.56999999999999995</v>
      </c>
      <c r="E629" s="712"/>
      <c r="F629" s="327">
        <v>0.5</v>
      </c>
      <c r="G629" s="328">
        <f t="shared" si="19"/>
        <v>0.28499999999999998</v>
      </c>
      <c r="H629" s="328">
        <f t="shared" si="20"/>
        <v>0.28499999999999998</v>
      </c>
      <c r="I629" s="329" t="s">
        <v>1</v>
      </c>
    </row>
    <row r="630" spans="1:9" s="18" customFormat="1" x14ac:dyDescent="0.2">
      <c r="A630" s="265"/>
      <c r="B630" s="571" t="s">
        <v>270</v>
      </c>
      <c r="C630" s="327">
        <v>1</v>
      </c>
      <c r="D630" s="711">
        <f>973.87*0.75</f>
        <v>730.40250000000003</v>
      </c>
      <c r="E630" s="712"/>
      <c r="F630" s="327">
        <v>0.2</v>
      </c>
      <c r="G630" s="328">
        <f t="shared" si="19"/>
        <v>146.0805</v>
      </c>
      <c r="H630" s="328">
        <f t="shared" si="20"/>
        <v>146.0805</v>
      </c>
      <c r="I630" s="329" t="s">
        <v>1</v>
      </c>
    </row>
    <row r="631" spans="1:9" s="18" customFormat="1" x14ac:dyDescent="0.2">
      <c r="A631" s="265"/>
      <c r="B631" s="571" t="s">
        <v>271</v>
      </c>
      <c r="C631" s="327">
        <v>1</v>
      </c>
      <c r="D631" s="711">
        <f>(1.69+1.69)*0.85</f>
        <v>2.8729999999999998</v>
      </c>
      <c r="E631" s="712"/>
      <c r="F631" s="327">
        <v>22.77</v>
      </c>
      <c r="G631" s="328">
        <f t="shared" si="19"/>
        <v>65.418209999999988</v>
      </c>
      <c r="H631" s="328">
        <f t="shared" si="20"/>
        <v>65.418209999999988</v>
      </c>
      <c r="I631" s="329" t="s">
        <v>1</v>
      </c>
    </row>
    <row r="632" spans="1:9" s="18" customFormat="1" x14ac:dyDescent="0.2">
      <c r="A632" s="265"/>
      <c r="B632" s="571"/>
      <c r="C632" s="327">
        <v>1</v>
      </c>
      <c r="D632" s="711">
        <f>1.73*0.85</f>
        <v>1.4704999999999999</v>
      </c>
      <c r="E632" s="712"/>
      <c r="F632" s="327">
        <v>8.01</v>
      </c>
      <c r="G632" s="328">
        <f t="shared" si="19"/>
        <v>11.778704999999999</v>
      </c>
      <c r="H632" s="328">
        <f t="shared" si="20"/>
        <v>11.778704999999999</v>
      </c>
      <c r="I632" s="329" t="s">
        <v>1</v>
      </c>
    </row>
    <row r="633" spans="1:9" s="18" customFormat="1" x14ac:dyDescent="0.2">
      <c r="A633" s="265"/>
      <c r="B633" s="571"/>
      <c r="C633" s="327">
        <v>1</v>
      </c>
      <c r="D633" s="711">
        <f>1.73*0.85</f>
        <v>1.4704999999999999</v>
      </c>
      <c r="E633" s="712"/>
      <c r="F633" s="327">
        <v>15</v>
      </c>
      <c r="G633" s="328">
        <f t="shared" si="19"/>
        <v>22.057499999999997</v>
      </c>
      <c r="H633" s="328">
        <f t="shared" si="20"/>
        <v>22.057499999999997</v>
      </c>
      <c r="I633" s="329" t="s">
        <v>1</v>
      </c>
    </row>
    <row r="634" spans="1:9" s="18" customFormat="1" x14ac:dyDescent="0.2">
      <c r="A634" s="265"/>
      <c r="B634" s="571" t="s">
        <v>272</v>
      </c>
      <c r="C634" s="327">
        <v>1</v>
      </c>
      <c r="D634" s="711">
        <f>(179.77+25.63)*0.85</f>
        <v>174.59</v>
      </c>
      <c r="E634" s="712"/>
      <c r="F634" s="327">
        <v>0.2</v>
      </c>
      <c r="G634" s="328">
        <f t="shared" si="19"/>
        <v>34.917999999999999</v>
      </c>
      <c r="H634" s="328">
        <f t="shared" si="20"/>
        <v>34.917999999999999</v>
      </c>
      <c r="I634" s="329" t="s">
        <v>1</v>
      </c>
    </row>
    <row r="635" spans="1:9" s="18" customFormat="1" x14ac:dyDescent="0.2">
      <c r="A635" s="265"/>
      <c r="B635" s="581" t="s">
        <v>278</v>
      </c>
      <c r="C635" s="365"/>
      <c r="D635" s="365"/>
      <c r="E635" s="365"/>
      <c r="F635" s="365"/>
      <c r="G635" s="366"/>
      <c r="H635" s="366"/>
      <c r="I635" s="367"/>
    </row>
    <row r="636" spans="1:9" s="18" customFormat="1" x14ac:dyDescent="0.2">
      <c r="A636" s="265"/>
      <c r="B636" s="571" t="s">
        <v>279</v>
      </c>
      <c r="C636" s="327">
        <v>2</v>
      </c>
      <c r="D636" s="327">
        <v>5.71</v>
      </c>
      <c r="E636" s="327">
        <v>0.15</v>
      </c>
      <c r="F636" s="327">
        <v>3.04</v>
      </c>
      <c r="G636" s="328">
        <f t="shared" ref="G636:G645" si="21">F636*E636*D636</f>
        <v>2.6037599999999999</v>
      </c>
      <c r="H636" s="328">
        <f t="shared" ref="H636:H645" si="22">G636*C636</f>
        <v>5.2075199999999997</v>
      </c>
      <c r="I636" s="329" t="s">
        <v>1</v>
      </c>
    </row>
    <row r="637" spans="1:9" s="18" customFormat="1" x14ac:dyDescent="0.2">
      <c r="A637" s="265"/>
      <c r="B637" s="571"/>
      <c r="C637" s="327">
        <v>-1</v>
      </c>
      <c r="D637" s="327">
        <v>2</v>
      </c>
      <c r="E637" s="327">
        <v>0.15</v>
      </c>
      <c r="F637" s="327">
        <v>0.5</v>
      </c>
      <c r="G637" s="328">
        <f t="shared" si="21"/>
        <v>0.15</v>
      </c>
      <c r="H637" s="328">
        <f t="shared" si="22"/>
        <v>-0.15</v>
      </c>
      <c r="I637" s="329" t="s">
        <v>1</v>
      </c>
    </row>
    <row r="638" spans="1:9" s="18" customFormat="1" x14ac:dyDescent="0.2">
      <c r="A638" s="265"/>
      <c r="B638" s="571" t="s">
        <v>280</v>
      </c>
      <c r="C638" s="327">
        <v>1</v>
      </c>
      <c r="D638" s="327">
        <v>5.71</v>
      </c>
      <c r="E638" s="327">
        <v>0.15</v>
      </c>
      <c r="F638" s="327">
        <v>3.09</v>
      </c>
      <c r="G638" s="328">
        <f t="shared" si="21"/>
        <v>2.646585</v>
      </c>
      <c r="H638" s="328">
        <f t="shared" si="22"/>
        <v>2.646585</v>
      </c>
      <c r="I638" s="329" t="s">
        <v>1</v>
      </c>
    </row>
    <row r="639" spans="1:9" s="18" customFormat="1" x14ac:dyDescent="0.2">
      <c r="A639" s="265"/>
      <c r="B639" s="571" t="s">
        <v>281</v>
      </c>
      <c r="C639" s="327">
        <v>2</v>
      </c>
      <c r="D639" s="327">
        <v>5.71</v>
      </c>
      <c r="E639" s="327">
        <v>0.15</v>
      </c>
      <c r="F639" s="327">
        <v>3.04</v>
      </c>
      <c r="G639" s="328">
        <f t="shared" si="21"/>
        <v>2.6037599999999999</v>
      </c>
      <c r="H639" s="328">
        <f t="shared" si="22"/>
        <v>5.2075199999999997</v>
      </c>
      <c r="I639" s="329" t="s">
        <v>1</v>
      </c>
    </row>
    <row r="640" spans="1:9" s="18" customFormat="1" x14ac:dyDescent="0.2">
      <c r="A640" s="265"/>
      <c r="B640" s="571"/>
      <c r="C640" s="327">
        <v>-1</v>
      </c>
      <c r="D640" s="327">
        <v>1.1000000000000001</v>
      </c>
      <c r="E640" s="327">
        <v>0.15</v>
      </c>
      <c r="F640" s="327">
        <v>2.25</v>
      </c>
      <c r="G640" s="328">
        <f t="shared" si="21"/>
        <v>0.37124999999999997</v>
      </c>
      <c r="H640" s="328">
        <f t="shared" si="22"/>
        <v>-0.37124999999999997</v>
      </c>
      <c r="I640" s="329" t="s">
        <v>1</v>
      </c>
    </row>
    <row r="641" spans="1:9" s="18" customFormat="1" x14ac:dyDescent="0.2">
      <c r="A641" s="265"/>
      <c r="B641" s="571"/>
      <c r="C641" s="327">
        <v>-1</v>
      </c>
      <c r="D641" s="327">
        <v>0.9</v>
      </c>
      <c r="E641" s="327">
        <v>0.15</v>
      </c>
      <c r="F641" s="327">
        <v>2.1</v>
      </c>
      <c r="G641" s="328">
        <f t="shared" si="21"/>
        <v>0.28350000000000003</v>
      </c>
      <c r="H641" s="328">
        <f t="shared" si="22"/>
        <v>-0.28350000000000003</v>
      </c>
      <c r="I641" s="329" t="s">
        <v>1</v>
      </c>
    </row>
    <row r="642" spans="1:9" s="18" customFormat="1" x14ac:dyDescent="0.2">
      <c r="A642" s="265"/>
      <c r="B642" s="571" t="s">
        <v>282</v>
      </c>
      <c r="C642" s="327">
        <v>3</v>
      </c>
      <c r="D642" s="327">
        <f>10.82+10.82</f>
        <v>21.64</v>
      </c>
      <c r="E642" s="327">
        <v>0.15</v>
      </c>
      <c r="F642" s="327">
        <v>3.09</v>
      </c>
      <c r="G642" s="328">
        <f t="shared" si="21"/>
        <v>10.030139999999999</v>
      </c>
      <c r="H642" s="328">
        <f t="shared" si="22"/>
        <v>30.090419999999998</v>
      </c>
      <c r="I642" s="329" t="s">
        <v>1</v>
      </c>
    </row>
    <row r="643" spans="1:9" s="18" customFormat="1" x14ac:dyDescent="0.2">
      <c r="A643" s="265"/>
      <c r="B643" s="571"/>
      <c r="C643" s="327">
        <v>-1</v>
      </c>
      <c r="D643" s="327">
        <f>0.9*3</f>
        <v>2.7</v>
      </c>
      <c r="E643" s="327">
        <v>0.15</v>
      </c>
      <c r="F643" s="327">
        <v>2.1</v>
      </c>
      <c r="G643" s="328">
        <f t="shared" si="21"/>
        <v>0.85050000000000003</v>
      </c>
      <c r="H643" s="328">
        <f t="shared" si="22"/>
        <v>-0.85050000000000003</v>
      </c>
      <c r="I643" s="329" t="s">
        <v>1</v>
      </c>
    </row>
    <row r="644" spans="1:9" s="18" customFormat="1" x14ac:dyDescent="0.2">
      <c r="A644" s="265"/>
      <c r="B644" s="571"/>
      <c r="C644" s="327">
        <v>-1</v>
      </c>
      <c r="D644" s="327">
        <v>1.1000000000000001</v>
      </c>
      <c r="E644" s="327">
        <v>0.15</v>
      </c>
      <c r="F644" s="327">
        <v>2.25</v>
      </c>
      <c r="G644" s="328">
        <f t="shared" si="21"/>
        <v>0.37124999999999997</v>
      </c>
      <c r="H644" s="328">
        <f t="shared" si="22"/>
        <v>-0.37124999999999997</v>
      </c>
      <c r="I644" s="329" t="s">
        <v>1</v>
      </c>
    </row>
    <row r="645" spans="1:9" s="18" customFormat="1" x14ac:dyDescent="0.2">
      <c r="A645" s="265"/>
      <c r="B645" s="571"/>
      <c r="C645" s="327">
        <v>-1</v>
      </c>
      <c r="D645" s="327">
        <v>1.45</v>
      </c>
      <c r="E645" s="327">
        <v>0.15</v>
      </c>
      <c r="F645" s="327">
        <v>0.5</v>
      </c>
      <c r="G645" s="328">
        <f t="shared" si="21"/>
        <v>0.10875</v>
      </c>
      <c r="H645" s="328">
        <f t="shared" si="22"/>
        <v>-0.10875</v>
      </c>
      <c r="I645" s="329" t="s">
        <v>1</v>
      </c>
    </row>
    <row r="646" spans="1:9" s="18" customFormat="1" x14ac:dyDescent="0.2">
      <c r="A646" s="265"/>
      <c r="B646" s="581" t="s">
        <v>286</v>
      </c>
      <c r="C646" s="327"/>
      <c r="D646" s="327"/>
      <c r="E646" s="327"/>
      <c r="F646" s="327"/>
      <c r="G646" s="328"/>
      <c r="H646" s="328"/>
      <c r="I646" s="329"/>
    </row>
    <row r="647" spans="1:9" s="18" customFormat="1" x14ac:dyDescent="0.2">
      <c r="A647" s="265"/>
      <c r="B647" s="571" t="s">
        <v>275</v>
      </c>
      <c r="C647" s="327">
        <v>8</v>
      </c>
      <c r="D647" s="327">
        <v>0.25</v>
      </c>
      <c r="E647" s="327">
        <v>0.25</v>
      </c>
      <c r="F647" s="327">
        <v>2.9</v>
      </c>
      <c r="G647" s="328">
        <f>F647*E647*D647</f>
        <v>0.18124999999999999</v>
      </c>
      <c r="H647" s="328">
        <f t="shared" ref="H647:H653" si="23">G647*C647</f>
        <v>1.45</v>
      </c>
      <c r="I647" s="329" t="s">
        <v>1</v>
      </c>
    </row>
    <row r="648" spans="1:9" s="18" customFormat="1" x14ac:dyDescent="0.2">
      <c r="A648" s="265"/>
      <c r="B648" s="571" t="s">
        <v>276</v>
      </c>
      <c r="C648" s="327">
        <v>6</v>
      </c>
      <c r="D648" s="327">
        <v>5.71</v>
      </c>
      <c r="E648" s="327">
        <v>0.25</v>
      </c>
      <c r="F648" s="327">
        <v>0.15</v>
      </c>
      <c r="G648" s="328">
        <f>F648*E648*D648</f>
        <v>0.21412499999999998</v>
      </c>
      <c r="H648" s="328">
        <f t="shared" si="23"/>
        <v>1.2847499999999998</v>
      </c>
      <c r="I648" s="329" t="s">
        <v>1</v>
      </c>
    </row>
    <row r="649" spans="1:9" s="18" customFormat="1" x14ac:dyDescent="0.2">
      <c r="A649" s="265"/>
      <c r="B649" s="571"/>
      <c r="C649" s="327">
        <v>3</v>
      </c>
      <c r="D649" s="327">
        <v>8.85</v>
      </c>
      <c r="E649" s="327">
        <v>0.25</v>
      </c>
      <c r="F649" s="327">
        <v>0.15</v>
      </c>
      <c r="G649" s="328">
        <f>F649*E649*D649</f>
        <v>0.33187499999999998</v>
      </c>
      <c r="H649" s="328">
        <f t="shared" si="23"/>
        <v>0.99562499999999998</v>
      </c>
      <c r="I649" s="329" t="s">
        <v>1</v>
      </c>
    </row>
    <row r="650" spans="1:9" s="18" customFormat="1" x14ac:dyDescent="0.2">
      <c r="A650" s="265"/>
      <c r="B650" s="571" t="s">
        <v>274</v>
      </c>
      <c r="C650" s="327">
        <v>1</v>
      </c>
      <c r="D650" s="711">
        <f>22.78+22.75+45.45</f>
        <v>90.98</v>
      </c>
      <c r="E650" s="712"/>
      <c r="F650" s="327">
        <v>0.15</v>
      </c>
      <c r="G650" s="328">
        <f>D650*F650</f>
        <v>13.647</v>
      </c>
      <c r="H650" s="328">
        <f t="shared" si="23"/>
        <v>13.647</v>
      </c>
      <c r="I650" s="329" t="s">
        <v>1</v>
      </c>
    </row>
    <row r="651" spans="1:9" s="18" customFormat="1" x14ac:dyDescent="0.2">
      <c r="A651" s="265"/>
      <c r="B651" s="571" t="s">
        <v>60</v>
      </c>
      <c r="C651" s="327">
        <v>1</v>
      </c>
      <c r="D651" s="711">
        <v>15.9</v>
      </c>
      <c r="E651" s="712"/>
      <c r="F651" s="327">
        <v>0.15</v>
      </c>
      <c r="G651" s="328">
        <f>D651*F651</f>
        <v>2.3849999999999998</v>
      </c>
      <c r="H651" s="328">
        <f t="shared" si="23"/>
        <v>2.3849999999999998</v>
      </c>
      <c r="I651" s="329" t="s">
        <v>1</v>
      </c>
    </row>
    <row r="652" spans="1:9" s="18" customFormat="1" x14ac:dyDescent="0.2">
      <c r="A652" s="265"/>
      <c r="B652" s="571" t="s">
        <v>296</v>
      </c>
      <c r="C652" s="327">
        <v>1</v>
      </c>
      <c r="D652" s="713">
        <v>0.12</v>
      </c>
      <c r="E652" s="714"/>
      <c r="F652" s="327">
        <v>0.1</v>
      </c>
      <c r="G652" s="328">
        <f>D652*F652</f>
        <v>1.2E-2</v>
      </c>
      <c r="H652" s="328">
        <f t="shared" si="23"/>
        <v>1.2E-2</v>
      </c>
      <c r="I652" s="329" t="s">
        <v>1</v>
      </c>
    </row>
    <row r="653" spans="1:9" s="18" customFormat="1" x14ac:dyDescent="0.2">
      <c r="A653" s="265"/>
      <c r="B653" s="571"/>
      <c r="C653" s="327">
        <v>3</v>
      </c>
      <c r="D653" s="327">
        <v>0.7</v>
      </c>
      <c r="E653" s="327">
        <v>0.65</v>
      </c>
      <c r="F653" s="327">
        <v>0.1</v>
      </c>
      <c r="G653" s="328">
        <f>F653*E653*D653</f>
        <v>4.5499999999999999E-2</v>
      </c>
      <c r="H653" s="328">
        <f t="shared" si="23"/>
        <v>0.13650000000000001</v>
      </c>
      <c r="I653" s="329" t="s">
        <v>1</v>
      </c>
    </row>
    <row r="654" spans="1:9" s="18" customFormat="1" x14ac:dyDescent="0.2">
      <c r="A654" s="265"/>
      <c r="B654" s="571"/>
      <c r="C654" s="327">
        <v>3</v>
      </c>
      <c r="D654" s="327">
        <v>0.1</v>
      </c>
      <c r="E654" s="327">
        <v>0.25</v>
      </c>
      <c r="F654" s="327">
        <v>0.1</v>
      </c>
      <c r="G654" s="328">
        <f>F654*E654*D654</f>
        <v>2.5000000000000005E-3</v>
      </c>
      <c r="H654" s="328">
        <f>G654*C654</f>
        <v>7.5000000000000015E-3</v>
      </c>
      <c r="I654" s="329" t="s">
        <v>1</v>
      </c>
    </row>
    <row r="655" spans="1:9" s="18" customFormat="1" x14ac:dyDescent="0.2">
      <c r="A655" s="265"/>
      <c r="B655" s="571" t="s">
        <v>364</v>
      </c>
      <c r="C655" s="327">
        <v>2</v>
      </c>
      <c r="D655" s="327">
        <v>12.95</v>
      </c>
      <c r="E655" s="327">
        <v>0.8</v>
      </c>
      <c r="F655" s="327">
        <v>1.2</v>
      </c>
      <c r="G655" s="328">
        <f>F655*E655*D655</f>
        <v>12.431999999999999</v>
      </c>
      <c r="H655" s="328">
        <f>G655*C655</f>
        <v>24.863999999999997</v>
      </c>
      <c r="I655" s="329" t="s">
        <v>1</v>
      </c>
    </row>
    <row r="656" spans="1:9" s="18" customFormat="1" x14ac:dyDescent="0.2">
      <c r="A656" s="265"/>
      <c r="B656" s="571"/>
      <c r="C656" s="327">
        <v>1</v>
      </c>
      <c r="D656" s="327">
        <v>5.28</v>
      </c>
      <c r="E656" s="327">
        <v>0.8</v>
      </c>
      <c r="F656" s="327">
        <v>1.2</v>
      </c>
      <c r="G656" s="328">
        <f>F656*E656*D656</f>
        <v>5.0688000000000004</v>
      </c>
      <c r="H656" s="328">
        <f>G656*C656</f>
        <v>5.0688000000000004</v>
      </c>
      <c r="I656" s="329" t="s">
        <v>1</v>
      </c>
    </row>
    <row r="657" spans="1:9" s="18" customFormat="1" x14ac:dyDescent="0.2">
      <c r="A657" s="265"/>
      <c r="B657" s="571" t="s">
        <v>365</v>
      </c>
      <c r="C657" s="327">
        <v>3</v>
      </c>
      <c r="D657" s="327">
        <v>7.08</v>
      </c>
      <c r="E657" s="327">
        <v>0.8</v>
      </c>
      <c r="F657" s="327">
        <v>1.2</v>
      </c>
      <c r="G657" s="328">
        <f>F657*E657*D657</f>
        <v>6.7968000000000002</v>
      </c>
      <c r="H657" s="328">
        <f>G657*C657</f>
        <v>20.3904</v>
      </c>
      <c r="I657" s="329" t="s">
        <v>1</v>
      </c>
    </row>
    <row r="658" spans="1:9" s="18" customFormat="1" x14ac:dyDescent="0.2">
      <c r="A658" s="265"/>
      <c r="B658" s="581" t="s">
        <v>283</v>
      </c>
      <c r="C658" s="327"/>
      <c r="D658" s="327"/>
      <c r="E658" s="327"/>
      <c r="F658" s="327"/>
      <c r="G658" s="328"/>
      <c r="H658" s="328"/>
      <c r="I658" s="329"/>
    </row>
    <row r="659" spans="1:9" s="18" customFormat="1" x14ac:dyDescent="0.2">
      <c r="A659" s="598"/>
      <c r="B659" s="593" t="s">
        <v>279</v>
      </c>
      <c r="C659" s="599">
        <v>1</v>
      </c>
      <c r="D659" s="599">
        <v>20.85</v>
      </c>
      <c r="E659" s="599">
        <v>0.25</v>
      </c>
      <c r="F659" s="599">
        <v>3.45</v>
      </c>
      <c r="G659" s="600">
        <f t="shared" ref="G659:G664" si="24">F659*E659*D659</f>
        <v>17.983125000000001</v>
      </c>
      <c r="H659" s="600">
        <f t="shared" ref="H659:H664" si="25">G659*C659</f>
        <v>17.983125000000001</v>
      </c>
      <c r="I659" s="601" t="s">
        <v>1</v>
      </c>
    </row>
    <row r="660" spans="1:9" s="18" customFormat="1" x14ac:dyDescent="0.2">
      <c r="A660" s="265"/>
      <c r="B660" s="571"/>
      <c r="C660" s="327">
        <v>-1</v>
      </c>
      <c r="D660" s="327">
        <f>2.71+2.71+3.05+3.25+3.25+3.07</f>
        <v>18.04</v>
      </c>
      <c r="E660" s="327">
        <v>0.25</v>
      </c>
      <c r="F660" s="327">
        <v>0.5</v>
      </c>
      <c r="G660" s="328">
        <f t="shared" si="24"/>
        <v>2.2549999999999999</v>
      </c>
      <c r="H660" s="328">
        <f t="shared" si="25"/>
        <v>-2.2549999999999999</v>
      </c>
      <c r="I660" s="329" t="s">
        <v>1</v>
      </c>
    </row>
    <row r="661" spans="1:9" s="18" customFormat="1" x14ac:dyDescent="0.2">
      <c r="A661" s="265"/>
      <c r="B661" s="571" t="s">
        <v>280</v>
      </c>
      <c r="C661" s="327">
        <v>1</v>
      </c>
      <c r="D661" s="327">
        <v>3.01</v>
      </c>
      <c r="E661" s="327">
        <v>0.25</v>
      </c>
      <c r="F661" s="327">
        <v>4.45</v>
      </c>
      <c r="G661" s="328">
        <f t="shared" si="24"/>
        <v>3.3486249999999997</v>
      </c>
      <c r="H661" s="328">
        <f t="shared" si="25"/>
        <v>3.3486249999999997</v>
      </c>
      <c r="I661" s="329" t="s">
        <v>1</v>
      </c>
    </row>
    <row r="662" spans="1:9" s="18" customFormat="1" x14ac:dyDescent="0.2">
      <c r="A662" s="265"/>
      <c r="B662" s="571" t="s">
        <v>284</v>
      </c>
      <c r="C662" s="327">
        <v>1</v>
      </c>
      <c r="D662" s="327">
        <f>2.71+2.71+3.05+3.25+3.25+3.07</f>
        <v>18.04</v>
      </c>
      <c r="E662" s="327">
        <v>0.15</v>
      </c>
      <c r="F662" s="327">
        <v>3.45</v>
      </c>
      <c r="G662" s="328">
        <f t="shared" si="24"/>
        <v>9.3356999999999992</v>
      </c>
      <c r="H662" s="328">
        <f t="shared" si="25"/>
        <v>9.3356999999999992</v>
      </c>
      <c r="I662" s="329" t="s">
        <v>1</v>
      </c>
    </row>
    <row r="663" spans="1:9" s="18" customFormat="1" x14ac:dyDescent="0.2">
      <c r="A663" s="265"/>
      <c r="B663" s="571"/>
      <c r="C663" s="327">
        <v>-1</v>
      </c>
      <c r="D663" s="327">
        <f>2.71+1.11+3.05+3.25+3.25+3.07</f>
        <v>16.440000000000001</v>
      </c>
      <c r="E663" s="327">
        <v>0.15</v>
      </c>
      <c r="F663" s="327">
        <v>1.5</v>
      </c>
      <c r="G663" s="328">
        <f t="shared" si="24"/>
        <v>3.6989999999999998</v>
      </c>
      <c r="H663" s="328">
        <f t="shared" si="25"/>
        <v>-3.6989999999999998</v>
      </c>
      <c r="I663" s="329" t="s">
        <v>1</v>
      </c>
    </row>
    <row r="664" spans="1:9" s="18" customFormat="1" x14ac:dyDescent="0.2">
      <c r="A664" s="265"/>
      <c r="B664" s="571" t="s">
        <v>285</v>
      </c>
      <c r="C664" s="327">
        <v>3</v>
      </c>
      <c r="D664" s="327">
        <v>11.82</v>
      </c>
      <c r="E664" s="327">
        <v>0.25</v>
      </c>
      <c r="F664" s="327">
        <v>3.45</v>
      </c>
      <c r="G664" s="328">
        <f t="shared" si="24"/>
        <v>10.194750000000001</v>
      </c>
      <c r="H664" s="328">
        <f t="shared" si="25"/>
        <v>30.584250000000004</v>
      </c>
      <c r="I664" s="329" t="s">
        <v>1</v>
      </c>
    </row>
    <row r="665" spans="1:9" s="18" customFormat="1" x14ac:dyDescent="0.2">
      <c r="A665" s="265"/>
      <c r="B665" s="581" t="s">
        <v>287</v>
      </c>
      <c r="C665" s="327"/>
      <c r="D665" s="327"/>
      <c r="E665" s="327"/>
      <c r="F665" s="327"/>
      <c r="G665" s="328"/>
      <c r="H665" s="328"/>
      <c r="I665" s="329"/>
    </row>
    <row r="666" spans="1:9" s="18" customFormat="1" x14ac:dyDescent="0.2">
      <c r="A666" s="265"/>
      <c r="B666" s="571" t="s">
        <v>275</v>
      </c>
      <c r="C666" s="327">
        <v>5</v>
      </c>
      <c r="D666" s="327">
        <v>0.25</v>
      </c>
      <c r="E666" s="327">
        <v>0.25</v>
      </c>
      <c r="F666" s="327">
        <v>3.36</v>
      </c>
      <c r="G666" s="328">
        <f>F666*E666*D666</f>
        <v>0.21</v>
      </c>
      <c r="H666" s="328">
        <f t="shared" ref="H666:H681" si="26">G666*C666</f>
        <v>1.05</v>
      </c>
      <c r="I666" s="329" t="s">
        <v>1</v>
      </c>
    </row>
    <row r="667" spans="1:9" s="18" customFormat="1" x14ac:dyDescent="0.2">
      <c r="A667" s="265"/>
      <c r="B667" s="571" t="s">
        <v>276</v>
      </c>
      <c r="C667" s="327">
        <v>1</v>
      </c>
      <c r="D667" s="327">
        <f>2.71+2.71+3.05+3.25+3.25+3.07</f>
        <v>18.04</v>
      </c>
      <c r="E667" s="327">
        <v>0.1</v>
      </c>
      <c r="F667" s="327">
        <v>0.35</v>
      </c>
      <c r="G667" s="328">
        <f>F667*E667*D667</f>
        <v>0.63139999999999985</v>
      </c>
      <c r="H667" s="328">
        <f t="shared" si="26"/>
        <v>0.63139999999999985</v>
      </c>
      <c r="I667" s="329" t="s">
        <v>1</v>
      </c>
    </row>
    <row r="668" spans="1:9" s="18" customFormat="1" x14ac:dyDescent="0.2">
      <c r="A668" s="265"/>
      <c r="B668" s="571" t="s">
        <v>274</v>
      </c>
      <c r="C668" s="327">
        <v>1</v>
      </c>
      <c r="D668" s="713">
        <f>22.78+22.75+45.45</f>
        <v>90.98</v>
      </c>
      <c r="E668" s="714"/>
      <c r="F668" s="327">
        <v>0.15</v>
      </c>
      <c r="G668" s="328">
        <f>D668*F668</f>
        <v>13.647</v>
      </c>
      <c r="H668" s="328">
        <f t="shared" si="26"/>
        <v>13.647</v>
      </c>
      <c r="I668" s="329" t="s">
        <v>1</v>
      </c>
    </row>
    <row r="669" spans="1:9" s="18" customFormat="1" x14ac:dyDescent="0.2">
      <c r="A669" s="265"/>
      <c r="B669" s="571" t="s">
        <v>60</v>
      </c>
      <c r="C669" s="327">
        <v>1</v>
      </c>
      <c r="D669" s="713">
        <f>68.25+4.92</f>
        <v>73.17</v>
      </c>
      <c r="E669" s="714"/>
      <c r="F669" s="327">
        <v>0.1</v>
      </c>
      <c r="G669" s="328">
        <f>D669*F669</f>
        <v>7.3170000000000002</v>
      </c>
      <c r="H669" s="328">
        <f t="shared" si="26"/>
        <v>7.3170000000000002</v>
      </c>
      <c r="I669" s="329" t="s">
        <v>1</v>
      </c>
    </row>
    <row r="670" spans="1:9" s="18" customFormat="1" x14ac:dyDescent="0.2">
      <c r="A670" s="265"/>
      <c r="B670" s="571" t="s">
        <v>288</v>
      </c>
      <c r="C670" s="327">
        <v>5</v>
      </c>
      <c r="D670" s="713">
        <v>3.39</v>
      </c>
      <c r="E670" s="714"/>
      <c r="F670" s="327">
        <v>0.1</v>
      </c>
      <c r="G670" s="328">
        <f>D670*F670</f>
        <v>0.33900000000000002</v>
      </c>
      <c r="H670" s="328">
        <f t="shared" si="26"/>
        <v>1.6950000000000001</v>
      </c>
      <c r="I670" s="329" t="s">
        <v>1</v>
      </c>
    </row>
    <row r="671" spans="1:9" s="18" customFormat="1" x14ac:dyDescent="0.2">
      <c r="A671" s="265"/>
      <c r="B671" s="571"/>
      <c r="C671" s="327">
        <v>10</v>
      </c>
      <c r="D671" s="327">
        <v>1.2</v>
      </c>
      <c r="E671" s="327">
        <v>0.15</v>
      </c>
      <c r="F671" s="327">
        <v>1</v>
      </c>
      <c r="G671" s="328">
        <f>D671*F671*E671</f>
        <v>0.18</v>
      </c>
      <c r="H671" s="328">
        <f t="shared" si="26"/>
        <v>1.7999999999999998</v>
      </c>
      <c r="I671" s="329" t="s">
        <v>1</v>
      </c>
    </row>
    <row r="672" spans="1:9" s="18" customFormat="1" x14ac:dyDescent="0.2">
      <c r="A672" s="265"/>
      <c r="B672" s="571" t="s">
        <v>288</v>
      </c>
      <c r="C672" s="327">
        <v>1</v>
      </c>
      <c r="D672" s="711">
        <f>0.9*10</f>
        <v>9</v>
      </c>
      <c r="E672" s="712"/>
      <c r="F672" s="327">
        <v>0.1</v>
      </c>
      <c r="G672" s="328">
        <f>D672*F672</f>
        <v>0.9</v>
      </c>
      <c r="H672" s="328">
        <f t="shared" si="26"/>
        <v>0.9</v>
      </c>
      <c r="I672" s="329" t="s">
        <v>1</v>
      </c>
    </row>
    <row r="673" spans="1:9" s="18" customFormat="1" x14ac:dyDescent="0.2">
      <c r="A673" s="265"/>
      <c r="B673" s="571"/>
      <c r="C673" s="327">
        <v>5</v>
      </c>
      <c r="D673" s="327">
        <v>0.9</v>
      </c>
      <c r="E673" s="327">
        <v>0.15</v>
      </c>
      <c r="F673" s="327">
        <v>1</v>
      </c>
      <c r="G673" s="328">
        <f>D673*F673*E673</f>
        <v>0.13500000000000001</v>
      </c>
      <c r="H673" s="328">
        <f t="shared" si="26"/>
        <v>0.67500000000000004</v>
      </c>
      <c r="I673" s="329" t="s">
        <v>1</v>
      </c>
    </row>
    <row r="674" spans="1:9" s="18" customFormat="1" x14ac:dyDescent="0.2">
      <c r="A674" s="265"/>
      <c r="B674" s="571" t="s">
        <v>288</v>
      </c>
      <c r="C674" s="327">
        <v>1</v>
      </c>
      <c r="D674" s="711">
        <v>1.1200000000000001</v>
      </c>
      <c r="E674" s="712"/>
      <c r="F674" s="327">
        <v>0.1</v>
      </c>
      <c r="G674" s="328">
        <f>D674*F674</f>
        <v>0.11200000000000002</v>
      </c>
      <c r="H674" s="328">
        <f t="shared" si="26"/>
        <v>0.11200000000000002</v>
      </c>
      <c r="I674" s="329" t="s">
        <v>1</v>
      </c>
    </row>
    <row r="675" spans="1:9" s="18" customFormat="1" x14ac:dyDescent="0.2">
      <c r="A675" s="265"/>
      <c r="B675" s="571"/>
      <c r="C675" s="327">
        <v>2</v>
      </c>
      <c r="D675" s="327">
        <v>0.7</v>
      </c>
      <c r="E675" s="327">
        <v>0.15</v>
      </c>
      <c r="F675" s="327">
        <v>1</v>
      </c>
      <c r="G675" s="328">
        <f>D675*F675*E675</f>
        <v>0.105</v>
      </c>
      <c r="H675" s="328">
        <f t="shared" si="26"/>
        <v>0.21</v>
      </c>
      <c r="I675" s="329" t="s">
        <v>1</v>
      </c>
    </row>
    <row r="676" spans="1:9" s="18" customFormat="1" x14ac:dyDescent="0.2">
      <c r="A676" s="265"/>
      <c r="B676" s="571" t="s">
        <v>289</v>
      </c>
      <c r="C676" s="327">
        <v>1</v>
      </c>
      <c r="D676" s="711">
        <v>0.43</v>
      </c>
      <c r="E676" s="712"/>
      <c r="F676" s="327">
        <v>22.4</v>
      </c>
      <c r="G676" s="328">
        <f>D676*F676</f>
        <v>9.6319999999999997</v>
      </c>
      <c r="H676" s="328">
        <f t="shared" si="26"/>
        <v>9.6319999999999997</v>
      </c>
      <c r="I676" s="329" t="s">
        <v>1</v>
      </c>
    </row>
    <row r="677" spans="1:9" s="18" customFormat="1" x14ac:dyDescent="0.2">
      <c r="A677" s="265"/>
      <c r="B677" s="571" t="s">
        <v>290</v>
      </c>
      <c r="C677" s="327">
        <v>1</v>
      </c>
      <c r="D677" s="711">
        <v>0.43</v>
      </c>
      <c r="E677" s="712"/>
      <c r="F677" s="327">
        <v>23.8</v>
      </c>
      <c r="G677" s="328">
        <f>D677*F677</f>
        <v>10.234</v>
      </c>
      <c r="H677" s="328">
        <f t="shared" si="26"/>
        <v>10.234</v>
      </c>
      <c r="I677" s="329" t="s">
        <v>1</v>
      </c>
    </row>
    <row r="678" spans="1:9" s="18" customFormat="1" x14ac:dyDescent="0.2">
      <c r="A678" s="265"/>
      <c r="B678" s="571" t="s">
        <v>366</v>
      </c>
      <c r="C678" s="327">
        <v>2</v>
      </c>
      <c r="D678" s="327">
        <v>21.4</v>
      </c>
      <c r="E678" s="327">
        <v>0.8</v>
      </c>
      <c r="F678" s="327">
        <v>1.2</v>
      </c>
      <c r="G678" s="328">
        <f>F678*E678*D678</f>
        <v>20.543999999999997</v>
      </c>
      <c r="H678" s="328">
        <f t="shared" si="26"/>
        <v>41.087999999999994</v>
      </c>
      <c r="I678" s="329" t="s">
        <v>1</v>
      </c>
    </row>
    <row r="679" spans="1:9" s="18" customFormat="1" x14ac:dyDescent="0.2">
      <c r="A679" s="265"/>
      <c r="B679" s="571"/>
      <c r="C679" s="327">
        <v>1</v>
      </c>
      <c r="D679" s="327">
        <v>2.46</v>
      </c>
      <c r="E679" s="327">
        <v>0.8</v>
      </c>
      <c r="F679" s="327">
        <v>1.2</v>
      </c>
      <c r="G679" s="328">
        <f>F679*E679*D679</f>
        <v>2.3615999999999997</v>
      </c>
      <c r="H679" s="328">
        <f t="shared" si="26"/>
        <v>2.3615999999999997</v>
      </c>
      <c r="I679" s="329" t="s">
        <v>1</v>
      </c>
    </row>
    <row r="680" spans="1:9" s="18" customFormat="1" x14ac:dyDescent="0.2">
      <c r="A680" s="265"/>
      <c r="B680" s="571" t="s">
        <v>367</v>
      </c>
      <c r="C680" s="327">
        <v>2</v>
      </c>
      <c r="D680" s="327">
        <v>6.08</v>
      </c>
      <c r="E680" s="327">
        <v>0.8</v>
      </c>
      <c r="F680" s="327">
        <v>1.2</v>
      </c>
      <c r="G680" s="328">
        <f>F680*E680*D680</f>
        <v>5.8368000000000002</v>
      </c>
      <c r="H680" s="328">
        <f t="shared" si="26"/>
        <v>11.6736</v>
      </c>
      <c r="I680" s="329" t="s">
        <v>1</v>
      </c>
    </row>
    <row r="681" spans="1:9" s="18" customFormat="1" x14ac:dyDescent="0.2">
      <c r="A681" s="265"/>
      <c r="B681" s="571"/>
      <c r="C681" s="327">
        <v>1</v>
      </c>
      <c r="D681" s="327">
        <v>4.83</v>
      </c>
      <c r="E681" s="327">
        <v>0.8</v>
      </c>
      <c r="F681" s="327">
        <v>1.2</v>
      </c>
      <c r="G681" s="328">
        <f>F681*E681*D681</f>
        <v>4.6368</v>
      </c>
      <c r="H681" s="328">
        <f t="shared" si="26"/>
        <v>4.6368</v>
      </c>
      <c r="I681" s="329" t="s">
        <v>1</v>
      </c>
    </row>
    <row r="682" spans="1:9" s="18" customFormat="1" x14ac:dyDescent="0.2">
      <c r="A682" s="265"/>
      <c r="B682" s="581" t="s">
        <v>293</v>
      </c>
      <c r="C682" s="327"/>
      <c r="D682" s="327"/>
      <c r="E682" s="327"/>
      <c r="F682" s="327"/>
      <c r="G682" s="328"/>
      <c r="H682" s="328"/>
      <c r="I682" s="329"/>
    </row>
    <row r="683" spans="1:9" s="18" customFormat="1" x14ac:dyDescent="0.2">
      <c r="A683" s="265"/>
      <c r="B683" s="571" t="s">
        <v>279</v>
      </c>
      <c r="C683" s="327">
        <v>1</v>
      </c>
      <c r="D683" s="327">
        <v>8.1300000000000008</v>
      </c>
      <c r="E683" s="327">
        <v>0.25</v>
      </c>
      <c r="F683" s="327">
        <v>3.18</v>
      </c>
      <c r="G683" s="328">
        <f t="shared" ref="G683:G688" si="27">F683*E683*D683</f>
        <v>6.463350000000001</v>
      </c>
      <c r="H683" s="328">
        <f t="shared" ref="H683:H689" si="28">G683*C683</f>
        <v>6.463350000000001</v>
      </c>
      <c r="I683" s="329" t="s">
        <v>1</v>
      </c>
    </row>
    <row r="684" spans="1:9" s="18" customFormat="1" x14ac:dyDescent="0.2">
      <c r="A684" s="265"/>
      <c r="B684" s="571"/>
      <c r="C684" s="327">
        <v>-1</v>
      </c>
      <c r="D684" s="327">
        <v>3.69</v>
      </c>
      <c r="E684" s="327">
        <v>0.25</v>
      </c>
      <c r="F684" s="327">
        <v>0.5</v>
      </c>
      <c r="G684" s="328">
        <f t="shared" si="27"/>
        <v>0.46124999999999999</v>
      </c>
      <c r="H684" s="328">
        <f t="shared" si="28"/>
        <v>-0.46124999999999999</v>
      </c>
      <c r="I684" s="329" t="s">
        <v>1</v>
      </c>
    </row>
    <row r="685" spans="1:9" s="18" customFormat="1" x14ac:dyDescent="0.2">
      <c r="A685" s="265"/>
      <c r="B685" s="571" t="s">
        <v>281</v>
      </c>
      <c r="C685" s="327">
        <v>1</v>
      </c>
      <c r="D685" s="327">
        <v>8.08</v>
      </c>
      <c r="E685" s="327">
        <v>0.25</v>
      </c>
      <c r="F685" s="327">
        <v>3.18</v>
      </c>
      <c r="G685" s="328">
        <f t="shared" si="27"/>
        <v>6.4236000000000004</v>
      </c>
      <c r="H685" s="328">
        <f t="shared" si="28"/>
        <v>6.4236000000000004</v>
      </c>
      <c r="I685" s="329" t="s">
        <v>1</v>
      </c>
    </row>
    <row r="686" spans="1:9" s="18" customFormat="1" x14ac:dyDescent="0.2">
      <c r="A686" s="265"/>
      <c r="B686" s="571"/>
      <c r="C686" s="327">
        <v>-1</v>
      </c>
      <c r="D686" s="327">
        <v>2.7</v>
      </c>
      <c r="E686" s="327">
        <v>0.25</v>
      </c>
      <c r="F686" s="327">
        <v>0.5</v>
      </c>
      <c r="G686" s="328">
        <f t="shared" si="27"/>
        <v>0.33750000000000002</v>
      </c>
      <c r="H686" s="328">
        <f t="shared" si="28"/>
        <v>-0.33750000000000002</v>
      </c>
      <c r="I686" s="329" t="s">
        <v>1</v>
      </c>
    </row>
    <row r="687" spans="1:9" s="18" customFormat="1" x14ac:dyDescent="0.2">
      <c r="A687" s="265"/>
      <c r="B687" s="571"/>
      <c r="C687" s="327">
        <v>-1</v>
      </c>
      <c r="D687" s="327">
        <v>2.63</v>
      </c>
      <c r="E687" s="327">
        <v>0.25</v>
      </c>
      <c r="F687" s="327">
        <v>0.5</v>
      </c>
      <c r="G687" s="328">
        <f t="shared" si="27"/>
        <v>0.32874999999999999</v>
      </c>
      <c r="H687" s="328">
        <f t="shared" si="28"/>
        <v>-0.32874999999999999</v>
      </c>
      <c r="I687" s="329" t="s">
        <v>1</v>
      </c>
    </row>
    <row r="688" spans="1:9" s="18" customFormat="1" x14ac:dyDescent="0.2">
      <c r="A688" s="265"/>
      <c r="B688" s="571"/>
      <c r="C688" s="327">
        <v>-2</v>
      </c>
      <c r="D688" s="327">
        <v>1</v>
      </c>
      <c r="E688" s="327">
        <v>0.25</v>
      </c>
      <c r="F688" s="327">
        <v>2.1</v>
      </c>
      <c r="G688" s="328">
        <f t="shared" si="27"/>
        <v>0.52500000000000002</v>
      </c>
      <c r="H688" s="328">
        <f t="shared" si="28"/>
        <v>-1.05</v>
      </c>
      <c r="I688" s="329" t="s">
        <v>1</v>
      </c>
    </row>
    <row r="689" spans="1:9" s="18" customFormat="1" x14ac:dyDescent="0.2">
      <c r="A689" s="265"/>
      <c r="B689" s="571" t="s">
        <v>291</v>
      </c>
      <c r="C689" s="327">
        <v>3</v>
      </c>
      <c r="D689" s="711">
        <v>18.899999999999999</v>
      </c>
      <c r="E689" s="712"/>
      <c r="F689" s="327">
        <v>0.25</v>
      </c>
      <c r="G689" s="328">
        <f>D689*F689</f>
        <v>4.7249999999999996</v>
      </c>
      <c r="H689" s="328">
        <f t="shared" si="28"/>
        <v>14.174999999999999</v>
      </c>
      <c r="I689" s="329" t="s">
        <v>1</v>
      </c>
    </row>
    <row r="690" spans="1:9" s="18" customFormat="1" x14ac:dyDescent="0.2">
      <c r="A690" s="265"/>
      <c r="B690" s="581" t="s">
        <v>292</v>
      </c>
      <c r="C690" s="327"/>
      <c r="D690" s="327"/>
      <c r="E690" s="327"/>
      <c r="F690" s="327"/>
      <c r="G690" s="328"/>
      <c r="H690" s="328"/>
      <c r="I690" s="329"/>
    </row>
    <row r="691" spans="1:9" s="18" customFormat="1" x14ac:dyDescent="0.2">
      <c r="A691" s="265"/>
      <c r="B691" s="571" t="s">
        <v>274</v>
      </c>
      <c r="C691" s="327">
        <v>1</v>
      </c>
      <c r="D691" s="713">
        <f>18.96+18.93</f>
        <v>37.89</v>
      </c>
      <c r="E691" s="714"/>
      <c r="F691" s="327">
        <v>0.15</v>
      </c>
      <c r="G691" s="328">
        <f>D691*F691</f>
        <v>5.6834999999999996</v>
      </c>
      <c r="H691" s="328">
        <f t="shared" ref="H691:H698" si="29">G691*C691</f>
        <v>5.6834999999999996</v>
      </c>
      <c r="I691" s="329" t="s">
        <v>1</v>
      </c>
    </row>
    <row r="692" spans="1:9" s="18" customFormat="1" x14ac:dyDescent="0.2">
      <c r="A692" s="265"/>
      <c r="B692" s="571" t="s">
        <v>60</v>
      </c>
      <c r="C692" s="327">
        <v>2</v>
      </c>
      <c r="D692" s="327">
        <v>5.62</v>
      </c>
      <c r="E692" s="327">
        <v>0.56999999999999995</v>
      </c>
      <c r="F692" s="327">
        <v>0.1</v>
      </c>
      <c r="G692" s="328">
        <f t="shared" ref="G692:G698" si="30">F692*E692*D692</f>
        <v>0.32033999999999996</v>
      </c>
      <c r="H692" s="328">
        <f t="shared" si="29"/>
        <v>0.64067999999999992</v>
      </c>
      <c r="I692" s="329" t="s">
        <v>1</v>
      </c>
    </row>
    <row r="693" spans="1:9" s="18" customFormat="1" x14ac:dyDescent="0.2">
      <c r="A693" s="265"/>
      <c r="B693" s="571"/>
      <c r="C693" s="327">
        <v>2</v>
      </c>
      <c r="D693" s="327">
        <v>8.86</v>
      </c>
      <c r="E693" s="327">
        <v>1</v>
      </c>
      <c r="F693" s="327">
        <v>0.1</v>
      </c>
      <c r="G693" s="328">
        <f t="shared" si="30"/>
        <v>0.88600000000000001</v>
      </c>
      <c r="H693" s="328">
        <f t="shared" si="29"/>
        <v>1.772</v>
      </c>
      <c r="I693" s="329" t="s">
        <v>1</v>
      </c>
    </row>
    <row r="694" spans="1:9" s="18" customFormat="1" x14ac:dyDescent="0.2">
      <c r="A694" s="265"/>
      <c r="B694" s="571" t="s">
        <v>368</v>
      </c>
      <c r="C694" s="327">
        <v>1</v>
      </c>
      <c r="D694" s="327">
        <v>8.7100000000000009</v>
      </c>
      <c r="E694" s="327">
        <v>0.8</v>
      </c>
      <c r="F694" s="327">
        <v>1.2</v>
      </c>
      <c r="G694" s="328">
        <f t="shared" si="30"/>
        <v>8.361600000000001</v>
      </c>
      <c r="H694" s="328">
        <f t="shared" si="29"/>
        <v>8.361600000000001</v>
      </c>
      <c r="I694" s="329" t="s">
        <v>1</v>
      </c>
    </row>
    <row r="695" spans="1:9" s="18" customFormat="1" x14ac:dyDescent="0.2">
      <c r="A695" s="265"/>
      <c r="B695" s="571"/>
      <c r="C695" s="327">
        <v>1</v>
      </c>
      <c r="D695" s="327">
        <v>8.6300000000000008</v>
      </c>
      <c r="E695" s="327">
        <v>0.8</v>
      </c>
      <c r="F695" s="327">
        <v>1.2</v>
      </c>
      <c r="G695" s="328">
        <f t="shared" si="30"/>
        <v>8.2848000000000006</v>
      </c>
      <c r="H695" s="328">
        <f t="shared" si="29"/>
        <v>8.2848000000000006</v>
      </c>
      <c r="I695" s="329" t="s">
        <v>1</v>
      </c>
    </row>
    <row r="696" spans="1:9" s="18" customFormat="1" x14ac:dyDescent="0.2">
      <c r="A696" s="265"/>
      <c r="B696" s="571" t="s">
        <v>370</v>
      </c>
      <c r="C696" s="327">
        <v>1</v>
      </c>
      <c r="D696" s="327">
        <v>4.5</v>
      </c>
      <c r="E696" s="327">
        <v>0.8</v>
      </c>
      <c r="F696" s="327">
        <v>1.2</v>
      </c>
      <c r="G696" s="328">
        <f t="shared" si="30"/>
        <v>4.32</v>
      </c>
      <c r="H696" s="328">
        <f t="shared" si="29"/>
        <v>4.32</v>
      </c>
      <c r="I696" s="329" t="s">
        <v>1</v>
      </c>
    </row>
    <row r="697" spans="1:9" s="18" customFormat="1" x14ac:dyDescent="0.2">
      <c r="A697" s="265"/>
      <c r="B697" s="571"/>
      <c r="C697" s="327">
        <v>1</v>
      </c>
      <c r="D697" s="327">
        <v>4.54</v>
      </c>
      <c r="E697" s="327">
        <v>0.8</v>
      </c>
      <c r="F697" s="327">
        <v>1.2</v>
      </c>
      <c r="G697" s="328">
        <f t="shared" si="30"/>
        <v>4.3583999999999996</v>
      </c>
      <c r="H697" s="328">
        <f t="shared" si="29"/>
        <v>4.3583999999999996</v>
      </c>
      <c r="I697" s="329" t="s">
        <v>1</v>
      </c>
    </row>
    <row r="698" spans="1:9" s="18" customFormat="1" x14ac:dyDescent="0.2">
      <c r="A698" s="265"/>
      <c r="B698" s="571"/>
      <c r="C698" s="327">
        <v>1</v>
      </c>
      <c r="D698" s="327">
        <v>4.5599999999999996</v>
      </c>
      <c r="E698" s="327">
        <v>0.8</v>
      </c>
      <c r="F698" s="327">
        <v>1.2</v>
      </c>
      <c r="G698" s="328">
        <f t="shared" si="30"/>
        <v>4.3775999999999993</v>
      </c>
      <c r="H698" s="328">
        <f t="shared" si="29"/>
        <v>4.3775999999999993</v>
      </c>
      <c r="I698" s="329" t="s">
        <v>1</v>
      </c>
    </row>
    <row r="699" spans="1:9" s="18" customFormat="1" x14ac:dyDescent="0.2">
      <c r="A699" s="265"/>
      <c r="B699" s="581" t="s">
        <v>294</v>
      </c>
      <c r="C699" s="327"/>
      <c r="D699" s="327"/>
      <c r="E699" s="327"/>
      <c r="F699" s="327"/>
      <c r="G699" s="328"/>
      <c r="H699" s="328"/>
      <c r="I699" s="329"/>
    </row>
    <row r="700" spans="1:9" s="18" customFormat="1" x14ac:dyDescent="0.2">
      <c r="A700" s="265"/>
      <c r="B700" s="571" t="s">
        <v>279</v>
      </c>
      <c r="C700" s="327">
        <v>1</v>
      </c>
      <c r="D700" s="327">
        <v>6.87</v>
      </c>
      <c r="E700" s="327">
        <v>0.25</v>
      </c>
      <c r="F700" s="327">
        <v>2.97</v>
      </c>
      <c r="G700" s="328">
        <f t="shared" ref="G700:G707" si="31">F700*E700*D700</f>
        <v>5.100975</v>
      </c>
      <c r="H700" s="328">
        <f t="shared" ref="H700:H708" si="32">G700*C700</f>
        <v>5.100975</v>
      </c>
      <c r="I700" s="329" t="s">
        <v>1</v>
      </c>
    </row>
    <row r="701" spans="1:9" s="18" customFormat="1" x14ac:dyDescent="0.2">
      <c r="A701" s="265"/>
      <c r="B701" s="571" t="s">
        <v>295</v>
      </c>
      <c r="C701" s="327">
        <v>1</v>
      </c>
      <c r="D701" s="327">
        <v>6.87</v>
      </c>
      <c r="E701" s="327">
        <v>0.25</v>
      </c>
      <c r="F701" s="327">
        <v>3.56</v>
      </c>
      <c r="G701" s="328">
        <f t="shared" si="31"/>
        <v>6.1143000000000001</v>
      </c>
      <c r="H701" s="328">
        <f t="shared" si="32"/>
        <v>6.1143000000000001</v>
      </c>
      <c r="I701" s="329" t="s">
        <v>1</v>
      </c>
    </row>
    <row r="702" spans="1:9" s="18" customFormat="1" x14ac:dyDescent="0.2">
      <c r="A702" s="265"/>
      <c r="B702" s="571"/>
      <c r="C702" s="327">
        <v>-2</v>
      </c>
      <c r="D702" s="327">
        <v>1.56</v>
      </c>
      <c r="E702" s="327">
        <v>0.25</v>
      </c>
      <c r="F702" s="327">
        <v>0.5</v>
      </c>
      <c r="G702" s="328">
        <f t="shared" si="31"/>
        <v>0.19500000000000001</v>
      </c>
      <c r="H702" s="328">
        <f t="shared" si="32"/>
        <v>-0.39</v>
      </c>
      <c r="I702" s="329" t="s">
        <v>1</v>
      </c>
    </row>
    <row r="703" spans="1:9" s="18" customFormat="1" x14ac:dyDescent="0.2">
      <c r="A703" s="265"/>
      <c r="B703" s="571"/>
      <c r="C703" s="327">
        <v>-1</v>
      </c>
      <c r="D703" s="327">
        <v>1.5</v>
      </c>
      <c r="E703" s="327">
        <v>0.25</v>
      </c>
      <c r="F703" s="327">
        <v>0.5</v>
      </c>
      <c r="G703" s="328">
        <f t="shared" si="31"/>
        <v>0.1875</v>
      </c>
      <c r="H703" s="328">
        <f t="shared" si="32"/>
        <v>-0.1875</v>
      </c>
      <c r="I703" s="329" t="s">
        <v>1</v>
      </c>
    </row>
    <row r="704" spans="1:9" s="18" customFormat="1" x14ac:dyDescent="0.2">
      <c r="A704" s="265"/>
      <c r="B704" s="571"/>
      <c r="C704" s="327">
        <v>-1</v>
      </c>
      <c r="D704" s="327">
        <v>1.18</v>
      </c>
      <c r="E704" s="327">
        <v>0.25</v>
      </c>
      <c r="F704" s="327">
        <v>0.5</v>
      </c>
      <c r="G704" s="328">
        <f t="shared" si="31"/>
        <v>0.14749999999999999</v>
      </c>
      <c r="H704" s="328">
        <f t="shared" si="32"/>
        <v>-0.14749999999999999</v>
      </c>
      <c r="I704" s="329" t="s">
        <v>1</v>
      </c>
    </row>
    <row r="705" spans="1:11" s="18" customFormat="1" x14ac:dyDescent="0.2">
      <c r="A705" s="265"/>
      <c r="B705" s="571"/>
      <c r="C705" s="327">
        <v>-1</v>
      </c>
      <c r="D705" s="327">
        <v>1.58</v>
      </c>
      <c r="E705" s="327">
        <v>0.25</v>
      </c>
      <c r="F705" s="327">
        <v>0.5</v>
      </c>
      <c r="G705" s="328">
        <f t="shared" si="31"/>
        <v>0.19750000000000001</v>
      </c>
      <c r="H705" s="328">
        <f t="shared" si="32"/>
        <v>-0.19750000000000001</v>
      </c>
      <c r="I705" s="329" t="s">
        <v>1</v>
      </c>
    </row>
    <row r="706" spans="1:11" s="18" customFormat="1" x14ac:dyDescent="0.2">
      <c r="A706" s="265"/>
      <c r="B706" s="571"/>
      <c r="C706" s="327">
        <v>-1</v>
      </c>
      <c r="D706" s="327">
        <v>1.25</v>
      </c>
      <c r="E706" s="327">
        <v>0.25</v>
      </c>
      <c r="F706" s="327">
        <v>0.5</v>
      </c>
      <c r="G706" s="328">
        <f t="shared" si="31"/>
        <v>0.15625</v>
      </c>
      <c r="H706" s="328">
        <f t="shared" si="32"/>
        <v>-0.15625</v>
      </c>
      <c r="I706" s="329" t="s">
        <v>1</v>
      </c>
    </row>
    <row r="707" spans="1:11" s="18" customFormat="1" x14ac:dyDescent="0.2">
      <c r="A707" s="265"/>
      <c r="B707" s="571"/>
      <c r="C707" s="327">
        <v>-2</v>
      </c>
      <c r="D707" s="327">
        <v>1</v>
      </c>
      <c r="E707" s="327">
        <v>0.25</v>
      </c>
      <c r="F707" s="327">
        <v>2.1</v>
      </c>
      <c r="G707" s="328">
        <f t="shared" si="31"/>
        <v>0.52500000000000002</v>
      </c>
      <c r="H707" s="328">
        <f t="shared" si="32"/>
        <v>-1.05</v>
      </c>
      <c r="I707" s="329" t="s">
        <v>1</v>
      </c>
    </row>
    <row r="708" spans="1:11" s="18" customFormat="1" x14ac:dyDescent="0.2">
      <c r="A708" s="265"/>
      <c r="B708" s="571" t="s">
        <v>291</v>
      </c>
      <c r="C708" s="327">
        <v>3</v>
      </c>
      <c r="D708" s="711">
        <v>14.73</v>
      </c>
      <c r="E708" s="712"/>
      <c r="F708" s="327">
        <v>0.25</v>
      </c>
      <c r="G708" s="328">
        <f>D708*F708</f>
        <v>3.6825000000000001</v>
      </c>
      <c r="H708" s="328">
        <f t="shared" si="32"/>
        <v>11.047499999999999</v>
      </c>
      <c r="I708" s="329" t="s">
        <v>1</v>
      </c>
    </row>
    <row r="709" spans="1:11" s="18" customFormat="1" x14ac:dyDescent="0.2">
      <c r="A709" s="265"/>
      <c r="B709" s="581" t="s">
        <v>297</v>
      </c>
      <c r="C709" s="327"/>
      <c r="D709" s="327"/>
      <c r="E709" s="327"/>
      <c r="F709" s="327"/>
      <c r="G709" s="328"/>
      <c r="H709" s="328"/>
      <c r="I709" s="329"/>
    </row>
    <row r="710" spans="1:11" s="18" customFormat="1" x14ac:dyDescent="0.2">
      <c r="A710" s="265"/>
      <c r="B710" s="571" t="s">
        <v>274</v>
      </c>
      <c r="C710" s="327">
        <v>1</v>
      </c>
      <c r="D710" s="713">
        <f>13.68+14.35</f>
        <v>28.03</v>
      </c>
      <c r="E710" s="714"/>
      <c r="F710" s="327">
        <v>0.15</v>
      </c>
      <c r="G710" s="328">
        <f>D710*F710</f>
        <v>4.2045000000000003</v>
      </c>
      <c r="H710" s="328">
        <f t="shared" ref="H710:H715" si="33">G710*C710</f>
        <v>4.2045000000000003</v>
      </c>
      <c r="I710" s="329" t="s">
        <v>1</v>
      </c>
    </row>
    <row r="711" spans="1:11" s="18" customFormat="1" x14ac:dyDescent="0.2">
      <c r="A711" s="265"/>
      <c r="B711" s="571" t="s">
        <v>60</v>
      </c>
      <c r="C711" s="327">
        <v>2</v>
      </c>
      <c r="D711" s="713">
        <v>34.61</v>
      </c>
      <c r="E711" s="714"/>
      <c r="F711" s="327">
        <v>0.1</v>
      </c>
      <c r="G711" s="328">
        <f>D711*F711</f>
        <v>3.4610000000000003</v>
      </c>
      <c r="H711" s="328">
        <f t="shared" si="33"/>
        <v>6.9220000000000006</v>
      </c>
      <c r="I711" s="329" t="s">
        <v>1</v>
      </c>
      <c r="K711" s="62"/>
    </row>
    <row r="712" spans="1:11" s="18" customFormat="1" x14ac:dyDescent="0.2">
      <c r="A712" s="265"/>
      <c r="B712" s="571" t="s">
        <v>296</v>
      </c>
      <c r="C712" s="327">
        <v>1</v>
      </c>
      <c r="D712" s="713">
        <v>0.1</v>
      </c>
      <c r="E712" s="714"/>
      <c r="F712" s="327">
        <v>0.1</v>
      </c>
      <c r="G712" s="328">
        <f>D712*F712</f>
        <v>1.0000000000000002E-2</v>
      </c>
      <c r="H712" s="328">
        <f t="shared" si="33"/>
        <v>1.0000000000000002E-2</v>
      </c>
      <c r="I712" s="329" t="s">
        <v>1</v>
      </c>
    </row>
    <row r="713" spans="1:11" s="18" customFormat="1" x14ac:dyDescent="0.2">
      <c r="A713" s="265"/>
      <c r="B713" s="571"/>
      <c r="C713" s="327">
        <v>1</v>
      </c>
      <c r="D713" s="327">
        <v>0.5</v>
      </c>
      <c r="E713" s="327">
        <v>0.65</v>
      </c>
      <c r="F713" s="327">
        <v>0.1</v>
      </c>
      <c r="G713" s="328">
        <f>F713*E713*D713</f>
        <v>3.2500000000000001E-2</v>
      </c>
      <c r="H713" s="328">
        <f t="shared" si="33"/>
        <v>3.2500000000000001E-2</v>
      </c>
      <c r="I713" s="329" t="s">
        <v>1</v>
      </c>
    </row>
    <row r="714" spans="1:11" s="18" customFormat="1" x14ac:dyDescent="0.2">
      <c r="A714" s="265"/>
      <c r="B714" s="571" t="s">
        <v>369</v>
      </c>
      <c r="C714" s="327">
        <v>2</v>
      </c>
      <c r="D714" s="327">
        <v>7.41</v>
      </c>
      <c r="E714" s="327">
        <v>0.8</v>
      </c>
      <c r="F714" s="327">
        <v>1.2</v>
      </c>
      <c r="G714" s="328">
        <f>F714*E714*D714</f>
        <v>7.1135999999999999</v>
      </c>
      <c r="H714" s="328">
        <f t="shared" si="33"/>
        <v>14.2272</v>
      </c>
      <c r="I714" s="329" t="s">
        <v>1</v>
      </c>
    </row>
    <row r="715" spans="1:11" s="18" customFormat="1" x14ac:dyDescent="0.2">
      <c r="A715" s="265"/>
      <c r="B715" s="571" t="s">
        <v>371</v>
      </c>
      <c r="C715" s="327">
        <v>3</v>
      </c>
      <c r="D715" s="327">
        <v>3.94</v>
      </c>
      <c r="E715" s="327">
        <v>0.8</v>
      </c>
      <c r="F715" s="327">
        <v>1.2</v>
      </c>
      <c r="G715" s="328">
        <f>F715*E715*D715</f>
        <v>3.7824</v>
      </c>
      <c r="H715" s="328">
        <f t="shared" si="33"/>
        <v>11.347200000000001</v>
      </c>
      <c r="I715" s="329" t="s">
        <v>1</v>
      </c>
    </row>
    <row r="716" spans="1:11" s="18" customFormat="1" x14ac:dyDescent="0.2">
      <c r="A716" s="265"/>
      <c r="B716" s="571"/>
      <c r="C716" s="327"/>
      <c r="D716" s="327"/>
      <c r="E716" s="327"/>
      <c r="F716" s="327"/>
      <c r="G716" s="328"/>
      <c r="H716" s="328"/>
      <c r="I716" s="329"/>
    </row>
    <row r="717" spans="1:11" s="18" customFormat="1" x14ac:dyDescent="0.2">
      <c r="A717" s="265"/>
      <c r="B717" s="581" t="s">
        <v>298</v>
      </c>
      <c r="C717" s="327"/>
      <c r="D717" s="327"/>
      <c r="E717" s="327"/>
      <c r="F717" s="327"/>
      <c r="G717" s="328"/>
      <c r="H717" s="328"/>
      <c r="I717" s="329"/>
    </row>
    <row r="718" spans="1:11" s="18" customFormat="1" x14ac:dyDescent="0.2">
      <c r="A718" s="265"/>
      <c r="B718" s="571" t="s">
        <v>299</v>
      </c>
      <c r="C718" s="327">
        <v>1</v>
      </c>
      <c r="D718" s="327">
        <f>4.88+4.72+4.72+4.85+2.55+2.8+2.55+2.8</f>
        <v>29.870000000000005</v>
      </c>
      <c r="E718" s="327">
        <v>0.15</v>
      </c>
      <c r="F718" s="327">
        <v>3.64</v>
      </c>
      <c r="G718" s="328">
        <f t="shared" ref="G718:G724" si="34">F718*E718*D718</f>
        <v>16.309020000000004</v>
      </c>
      <c r="H718" s="328">
        <f t="shared" ref="H718:H726" si="35">G718*C718</f>
        <v>16.309020000000004</v>
      </c>
      <c r="I718" s="329" t="s">
        <v>1</v>
      </c>
    </row>
    <row r="719" spans="1:11" s="18" customFormat="1" x14ac:dyDescent="0.2">
      <c r="A719" s="265"/>
      <c r="B719" s="571"/>
      <c r="C719" s="327">
        <v>1</v>
      </c>
      <c r="D719" s="327">
        <f>1.25+0.25+2.35+0.25+0.85</f>
        <v>4.9499999999999993</v>
      </c>
      <c r="E719" s="327">
        <v>0.25</v>
      </c>
      <c r="F719" s="327">
        <v>3.64</v>
      </c>
      <c r="G719" s="328">
        <f t="shared" si="34"/>
        <v>4.5044999999999993</v>
      </c>
      <c r="H719" s="328">
        <f t="shared" si="35"/>
        <v>4.5044999999999993</v>
      </c>
      <c r="I719" s="329" t="s">
        <v>1</v>
      </c>
    </row>
    <row r="720" spans="1:11" s="18" customFormat="1" x14ac:dyDescent="0.2">
      <c r="A720" s="265"/>
      <c r="B720" s="571" t="s">
        <v>295</v>
      </c>
      <c r="C720" s="327">
        <v>1</v>
      </c>
      <c r="D720" s="327">
        <v>36.380000000000003</v>
      </c>
      <c r="E720" s="327">
        <v>0.25</v>
      </c>
      <c r="F720" s="327">
        <v>4.04</v>
      </c>
      <c r="G720" s="328">
        <f t="shared" si="34"/>
        <v>36.7438</v>
      </c>
      <c r="H720" s="328">
        <f t="shared" si="35"/>
        <v>36.7438</v>
      </c>
      <c r="I720" s="329" t="s">
        <v>1</v>
      </c>
    </row>
    <row r="721" spans="1:9" s="18" customFormat="1" x14ac:dyDescent="0.2">
      <c r="A721" s="265"/>
      <c r="B721" s="571"/>
      <c r="C721" s="327">
        <v>-1</v>
      </c>
      <c r="D721" s="327">
        <f>2.55+2.8+2.55+2.8</f>
        <v>10.7</v>
      </c>
      <c r="E721" s="327">
        <v>0.25</v>
      </c>
      <c r="F721" s="327">
        <v>0.5</v>
      </c>
      <c r="G721" s="328">
        <f t="shared" si="34"/>
        <v>1.3374999999999999</v>
      </c>
      <c r="H721" s="328">
        <f t="shared" si="35"/>
        <v>-1.3374999999999999</v>
      </c>
      <c r="I721" s="329" t="s">
        <v>1</v>
      </c>
    </row>
    <row r="722" spans="1:9" s="18" customFormat="1" x14ac:dyDescent="0.2">
      <c r="A722" s="265"/>
      <c r="B722" s="571"/>
      <c r="C722" s="327">
        <v>-4</v>
      </c>
      <c r="D722" s="327">
        <v>1.98</v>
      </c>
      <c r="E722" s="327">
        <v>0.15</v>
      </c>
      <c r="F722" s="327">
        <v>1.3</v>
      </c>
      <c r="G722" s="328">
        <f t="shared" si="34"/>
        <v>0.3861</v>
      </c>
      <c r="H722" s="328">
        <f t="shared" si="35"/>
        <v>-1.5444</v>
      </c>
      <c r="I722" s="329" t="s">
        <v>1</v>
      </c>
    </row>
    <row r="723" spans="1:9" s="18" customFormat="1" x14ac:dyDescent="0.2">
      <c r="A723" s="265"/>
      <c r="B723" s="571"/>
      <c r="C723" s="327">
        <v>-1</v>
      </c>
      <c r="D723" s="327">
        <f>1.65+2.8+1.65+2.4+1.98+1.98</f>
        <v>12.46</v>
      </c>
      <c r="E723" s="327">
        <v>0.25</v>
      </c>
      <c r="F723" s="327">
        <v>1.3</v>
      </c>
      <c r="G723" s="328">
        <f t="shared" si="34"/>
        <v>4.0495000000000001</v>
      </c>
      <c r="H723" s="328">
        <f t="shared" si="35"/>
        <v>-4.0495000000000001</v>
      </c>
      <c r="I723" s="329" t="s">
        <v>1</v>
      </c>
    </row>
    <row r="724" spans="1:9" s="18" customFormat="1" x14ac:dyDescent="0.2">
      <c r="A724" s="265"/>
      <c r="B724" s="571"/>
      <c r="C724" s="327">
        <v>-1</v>
      </c>
      <c r="D724" s="327">
        <f>0.9+0.9+1+2.27</f>
        <v>5.07</v>
      </c>
      <c r="E724" s="327">
        <v>0.25</v>
      </c>
      <c r="F724" s="327">
        <v>2.1</v>
      </c>
      <c r="G724" s="328">
        <f t="shared" si="34"/>
        <v>2.6617500000000001</v>
      </c>
      <c r="H724" s="328">
        <f t="shared" si="35"/>
        <v>-2.6617500000000001</v>
      </c>
      <c r="I724" s="329" t="s">
        <v>1</v>
      </c>
    </row>
    <row r="725" spans="1:9" s="18" customFormat="1" x14ac:dyDescent="0.2">
      <c r="A725" s="265"/>
      <c r="B725" s="571" t="s">
        <v>300</v>
      </c>
      <c r="C725" s="327">
        <v>5</v>
      </c>
      <c r="D725" s="711">
        <v>22.34</v>
      </c>
      <c r="E725" s="712"/>
      <c r="F725" s="327">
        <v>0.25</v>
      </c>
      <c r="G725" s="328">
        <f>D725*F725</f>
        <v>5.585</v>
      </c>
      <c r="H725" s="328">
        <f t="shared" si="35"/>
        <v>27.925000000000001</v>
      </c>
      <c r="I725" s="329" t="s">
        <v>1</v>
      </c>
    </row>
    <row r="726" spans="1:9" s="18" customFormat="1" x14ac:dyDescent="0.2">
      <c r="A726" s="265"/>
      <c r="B726" s="571" t="s">
        <v>301</v>
      </c>
      <c r="C726" s="327">
        <v>3</v>
      </c>
      <c r="D726" s="711">
        <v>22.95</v>
      </c>
      <c r="E726" s="712"/>
      <c r="F726" s="327">
        <v>0.25</v>
      </c>
      <c r="G726" s="328">
        <f>D726*F726</f>
        <v>5.7374999999999998</v>
      </c>
      <c r="H726" s="328">
        <f t="shared" si="35"/>
        <v>17.212499999999999</v>
      </c>
      <c r="I726" s="329" t="s">
        <v>1</v>
      </c>
    </row>
    <row r="727" spans="1:9" s="18" customFormat="1" x14ac:dyDescent="0.2">
      <c r="A727" s="265"/>
      <c r="B727" s="581" t="s">
        <v>302</v>
      </c>
      <c r="C727" s="327"/>
      <c r="D727" s="327"/>
      <c r="E727" s="327"/>
      <c r="F727" s="327"/>
      <c r="G727" s="328"/>
      <c r="H727" s="328"/>
      <c r="I727" s="329"/>
    </row>
    <row r="728" spans="1:9" s="18" customFormat="1" x14ac:dyDescent="0.2">
      <c r="A728" s="265"/>
      <c r="B728" s="571" t="s">
        <v>276</v>
      </c>
      <c r="C728" s="327">
        <v>2</v>
      </c>
      <c r="D728" s="327">
        <v>2.5499999999999998</v>
      </c>
      <c r="E728" s="327">
        <v>0.1</v>
      </c>
      <c r="F728" s="327">
        <v>0.35</v>
      </c>
      <c r="G728" s="328">
        <f>F728*E728*D728</f>
        <v>8.9249999999999982E-2</v>
      </c>
      <c r="H728" s="328">
        <f t="shared" ref="H728:H735" si="36">G728*C728</f>
        <v>0.17849999999999996</v>
      </c>
      <c r="I728" s="329" t="s">
        <v>1</v>
      </c>
    </row>
    <row r="729" spans="1:9" s="18" customFormat="1" x14ac:dyDescent="0.2">
      <c r="A729" s="265"/>
      <c r="B729" s="571"/>
      <c r="C729" s="327">
        <v>2</v>
      </c>
      <c r="D729" s="327">
        <v>2.8</v>
      </c>
      <c r="E729" s="327">
        <v>0.1</v>
      </c>
      <c r="F729" s="327">
        <v>0.35</v>
      </c>
      <c r="G729" s="328">
        <f>F729*E729*D729</f>
        <v>9.799999999999999E-2</v>
      </c>
      <c r="H729" s="328">
        <f t="shared" si="36"/>
        <v>0.19599999999999998</v>
      </c>
      <c r="I729" s="329" t="s">
        <v>1</v>
      </c>
    </row>
    <row r="730" spans="1:9" s="18" customFormat="1" x14ac:dyDescent="0.2">
      <c r="A730" s="265"/>
      <c r="B730" s="571" t="s">
        <v>274</v>
      </c>
      <c r="C730" s="327">
        <v>1</v>
      </c>
      <c r="D730" s="713">
        <f>45.23+43.45+63.78+65.45</f>
        <v>217.91000000000003</v>
      </c>
      <c r="E730" s="714"/>
      <c r="F730" s="327">
        <v>0.15</v>
      </c>
      <c r="G730" s="328">
        <f>D730*F730</f>
        <v>32.686500000000002</v>
      </c>
      <c r="H730" s="328">
        <f t="shared" si="36"/>
        <v>32.686500000000002</v>
      </c>
      <c r="I730" s="329" t="s">
        <v>1</v>
      </c>
    </row>
    <row r="731" spans="1:9" s="18" customFormat="1" x14ac:dyDescent="0.2">
      <c r="A731" s="265"/>
      <c r="B731" s="571" t="s">
        <v>60</v>
      </c>
      <c r="C731" s="327">
        <v>2</v>
      </c>
      <c r="D731" s="713">
        <v>90.2</v>
      </c>
      <c r="E731" s="714"/>
      <c r="F731" s="327">
        <v>0.1</v>
      </c>
      <c r="G731" s="328">
        <f>D731*F731</f>
        <v>9.0200000000000014</v>
      </c>
      <c r="H731" s="328">
        <f t="shared" si="36"/>
        <v>18.040000000000003</v>
      </c>
      <c r="I731" s="329" t="s">
        <v>1</v>
      </c>
    </row>
    <row r="732" spans="1:9" s="18" customFormat="1" x14ac:dyDescent="0.2">
      <c r="A732" s="265"/>
      <c r="B732" s="571" t="s">
        <v>372</v>
      </c>
      <c r="C732" s="327">
        <v>2</v>
      </c>
      <c r="D732" s="327">
        <v>21</v>
      </c>
      <c r="E732" s="327">
        <v>0.8</v>
      </c>
      <c r="F732" s="327">
        <v>1.2</v>
      </c>
      <c r="G732" s="328">
        <f>F732*E732*D732</f>
        <v>20.16</v>
      </c>
      <c r="H732" s="328">
        <f t="shared" si="36"/>
        <v>40.32</v>
      </c>
      <c r="I732" s="329" t="s">
        <v>1</v>
      </c>
    </row>
    <row r="733" spans="1:9" s="18" customFormat="1" x14ac:dyDescent="0.2">
      <c r="A733" s="265"/>
      <c r="B733" s="571" t="s">
        <v>373</v>
      </c>
      <c r="C733" s="327">
        <v>3</v>
      </c>
      <c r="D733" s="327">
        <v>5.8</v>
      </c>
      <c r="E733" s="327">
        <v>0.8</v>
      </c>
      <c r="F733" s="327">
        <v>1.2</v>
      </c>
      <c r="G733" s="328">
        <f>F733*E733*D733</f>
        <v>5.5679999999999996</v>
      </c>
      <c r="H733" s="328">
        <f t="shared" si="36"/>
        <v>16.704000000000001</v>
      </c>
      <c r="I733" s="329" t="s">
        <v>1</v>
      </c>
    </row>
    <row r="734" spans="1:9" s="18" customFormat="1" x14ac:dyDescent="0.2">
      <c r="A734" s="265"/>
      <c r="B734" s="571" t="s">
        <v>372</v>
      </c>
      <c r="C734" s="327">
        <v>2</v>
      </c>
      <c r="D734" s="327">
        <v>15.91</v>
      </c>
      <c r="E734" s="327">
        <v>0.8</v>
      </c>
      <c r="F734" s="327">
        <v>1.2</v>
      </c>
      <c r="G734" s="328">
        <f>F734*E734*D734</f>
        <v>15.2736</v>
      </c>
      <c r="H734" s="328">
        <f t="shared" si="36"/>
        <v>30.5472</v>
      </c>
      <c r="I734" s="329" t="s">
        <v>1</v>
      </c>
    </row>
    <row r="735" spans="1:9" s="18" customFormat="1" x14ac:dyDescent="0.2">
      <c r="A735" s="265"/>
      <c r="B735" s="571" t="s">
        <v>373</v>
      </c>
      <c r="C735" s="327">
        <v>3</v>
      </c>
      <c r="D735" s="327">
        <v>5.38</v>
      </c>
      <c r="E735" s="327">
        <v>0.8</v>
      </c>
      <c r="F735" s="327">
        <v>1.2</v>
      </c>
      <c r="G735" s="328">
        <f>F735*E735*D735</f>
        <v>5.1647999999999996</v>
      </c>
      <c r="H735" s="328">
        <f t="shared" si="36"/>
        <v>15.494399999999999</v>
      </c>
      <c r="I735" s="329" t="s">
        <v>1</v>
      </c>
    </row>
    <row r="736" spans="1:9" s="18" customFormat="1" ht="14.25" customHeight="1" x14ac:dyDescent="0.2">
      <c r="A736" s="265"/>
      <c r="B736" s="581" t="s">
        <v>303</v>
      </c>
      <c r="C736" s="327"/>
      <c r="D736" s="327"/>
      <c r="E736" s="327"/>
      <c r="F736" s="327"/>
      <c r="G736" s="328"/>
      <c r="H736" s="328"/>
      <c r="I736" s="329"/>
    </row>
    <row r="737" spans="1:9" s="18" customFormat="1" x14ac:dyDescent="0.2">
      <c r="A737" s="265"/>
      <c r="B737" s="571" t="s">
        <v>304</v>
      </c>
      <c r="C737" s="327">
        <v>1</v>
      </c>
      <c r="D737" s="327">
        <v>53.35</v>
      </c>
      <c r="E737" s="327">
        <v>0.25</v>
      </c>
      <c r="F737" s="327">
        <v>3.5</v>
      </c>
      <c r="G737" s="328">
        <f>F737*E737*D737</f>
        <v>46.681249999999999</v>
      </c>
      <c r="H737" s="328">
        <f>G737*C737</f>
        <v>46.681249999999999</v>
      </c>
      <c r="I737" s="329" t="s">
        <v>1</v>
      </c>
    </row>
    <row r="738" spans="1:9" s="18" customFormat="1" x14ac:dyDescent="0.2">
      <c r="A738" s="265"/>
      <c r="B738" s="571" t="s">
        <v>307</v>
      </c>
      <c r="C738" s="327">
        <v>1</v>
      </c>
      <c r="D738" s="327">
        <v>1.76</v>
      </c>
      <c r="E738" s="327">
        <v>0.15</v>
      </c>
      <c r="F738" s="327">
        <v>3.45</v>
      </c>
      <c r="G738" s="328">
        <f>F738*E738*D738</f>
        <v>0.91079999999999994</v>
      </c>
      <c r="H738" s="328">
        <f>G738*C738</f>
        <v>0.91079999999999994</v>
      </c>
      <c r="I738" s="329" t="s">
        <v>1</v>
      </c>
    </row>
    <row r="739" spans="1:9" s="18" customFormat="1" x14ac:dyDescent="0.2">
      <c r="A739" s="265"/>
      <c r="B739" s="571" t="s">
        <v>295</v>
      </c>
      <c r="C739" s="327">
        <v>1</v>
      </c>
      <c r="D739" s="327">
        <f>3.9+3.89+3.67+3.9+3.79+3.9+3.79+3.9+3.79+3.9+4.04+3.9+3.5</f>
        <v>49.87</v>
      </c>
      <c r="E739" s="327">
        <v>0.15</v>
      </c>
      <c r="F739" s="327">
        <v>3.3</v>
      </c>
      <c r="G739" s="328">
        <f>F739*E739*D739</f>
        <v>24.685649999999995</v>
      </c>
      <c r="H739" s="328">
        <f>G739*C739</f>
        <v>24.685649999999995</v>
      </c>
      <c r="I739" s="329" t="s">
        <v>1</v>
      </c>
    </row>
    <row r="740" spans="1:9" s="18" customFormat="1" x14ac:dyDescent="0.2">
      <c r="A740" s="265"/>
      <c r="B740" s="571" t="s">
        <v>305</v>
      </c>
      <c r="C740" s="327">
        <v>8</v>
      </c>
      <c r="D740" s="713">
        <v>25.69</v>
      </c>
      <c r="E740" s="714"/>
      <c r="F740" s="327">
        <v>0.25</v>
      </c>
      <c r="G740" s="328">
        <f>D740*F740</f>
        <v>6.4225000000000003</v>
      </c>
      <c r="H740" s="328">
        <f>G740*C740</f>
        <v>51.38</v>
      </c>
      <c r="I740" s="329" t="s">
        <v>1</v>
      </c>
    </row>
    <row r="741" spans="1:9" s="18" customFormat="1" x14ac:dyDescent="0.2">
      <c r="A741" s="598"/>
      <c r="B741" s="593" t="s">
        <v>308</v>
      </c>
      <c r="C741" s="599">
        <v>8</v>
      </c>
      <c r="D741" s="713">
        <v>5.21</v>
      </c>
      <c r="E741" s="714"/>
      <c r="F741" s="599">
        <v>0.15</v>
      </c>
      <c r="G741" s="600">
        <f>D741*F741</f>
        <v>0.78149999999999997</v>
      </c>
      <c r="H741" s="600">
        <f>G741*C741</f>
        <v>6.2519999999999998</v>
      </c>
      <c r="I741" s="601" t="s">
        <v>1</v>
      </c>
    </row>
    <row r="742" spans="1:9" s="18" customFormat="1" x14ac:dyDescent="0.2">
      <c r="A742" s="265"/>
      <c r="B742" s="581" t="s">
        <v>306</v>
      </c>
      <c r="C742" s="327"/>
      <c r="D742" s="327"/>
      <c r="E742" s="327"/>
      <c r="F742" s="327"/>
      <c r="G742" s="328"/>
      <c r="H742" s="328"/>
      <c r="I742" s="329"/>
    </row>
    <row r="743" spans="1:9" s="18" customFormat="1" x14ac:dyDescent="0.2">
      <c r="A743" s="265"/>
      <c r="B743" s="571" t="s">
        <v>275</v>
      </c>
      <c r="C743" s="327">
        <v>6</v>
      </c>
      <c r="D743" s="327">
        <v>0.25</v>
      </c>
      <c r="E743" s="327">
        <v>0.25</v>
      </c>
      <c r="F743" s="327">
        <v>2.95</v>
      </c>
      <c r="G743" s="328">
        <f>F743*E743*D743</f>
        <v>0.18437500000000001</v>
      </c>
      <c r="H743" s="328">
        <f t="shared" ref="H743:H748" si="37">G743*C743</f>
        <v>1.1062500000000002</v>
      </c>
      <c r="I743" s="329" t="s">
        <v>1</v>
      </c>
    </row>
    <row r="744" spans="1:9" s="18" customFormat="1" x14ac:dyDescent="0.2">
      <c r="A744" s="265"/>
      <c r="B744" s="571" t="s">
        <v>276</v>
      </c>
      <c r="C744" s="327">
        <v>1</v>
      </c>
      <c r="D744" s="327">
        <v>53.35</v>
      </c>
      <c r="E744" s="327">
        <v>0.25</v>
      </c>
      <c r="F744" s="327">
        <v>0.35</v>
      </c>
      <c r="G744" s="328">
        <f>F744*E744*D744</f>
        <v>4.6681249999999999</v>
      </c>
      <c r="H744" s="328">
        <f t="shared" si="37"/>
        <v>4.6681249999999999</v>
      </c>
      <c r="I744" s="329" t="s">
        <v>1</v>
      </c>
    </row>
    <row r="745" spans="1:9" s="18" customFormat="1" x14ac:dyDescent="0.2">
      <c r="A745" s="265"/>
      <c r="B745" s="571" t="s">
        <v>274</v>
      </c>
      <c r="C745" s="327">
        <v>1</v>
      </c>
      <c r="D745" s="713">
        <f>49.64+48.23+48.96+48.96+48.96+50.5+18.81+2.37</f>
        <v>316.43</v>
      </c>
      <c r="E745" s="714"/>
      <c r="F745" s="327">
        <v>0.15</v>
      </c>
      <c r="G745" s="328">
        <f>D745*F745</f>
        <v>47.464500000000001</v>
      </c>
      <c r="H745" s="328">
        <f t="shared" si="37"/>
        <v>47.464500000000001</v>
      </c>
      <c r="I745" s="329" t="s">
        <v>1</v>
      </c>
    </row>
    <row r="746" spans="1:9" s="18" customFormat="1" x14ac:dyDescent="0.2">
      <c r="A746" s="265"/>
      <c r="B746" s="571" t="s">
        <v>60</v>
      </c>
      <c r="C746" s="327">
        <v>1</v>
      </c>
      <c r="D746" s="713">
        <f>53.35*1.5</f>
        <v>80.025000000000006</v>
      </c>
      <c r="E746" s="714"/>
      <c r="F746" s="327">
        <v>0.1</v>
      </c>
      <c r="G746" s="328">
        <f>D746*F746</f>
        <v>8.0025000000000013</v>
      </c>
      <c r="H746" s="328">
        <f t="shared" si="37"/>
        <v>8.0025000000000013</v>
      </c>
      <c r="I746" s="329" t="s">
        <v>1</v>
      </c>
    </row>
    <row r="747" spans="1:9" s="18" customFormat="1" x14ac:dyDescent="0.2">
      <c r="A747" s="265"/>
      <c r="B747" s="571" t="s">
        <v>374</v>
      </c>
      <c r="C747" s="327">
        <v>2</v>
      </c>
      <c r="D747" s="327">
        <v>53.9</v>
      </c>
      <c r="E747" s="327">
        <v>0.8</v>
      </c>
      <c r="F747" s="327">
        <v>1.2</v>
      </c>
      <c r="G747" s="328">
        <f>F747*E747*D747</f>
        <v>51.744</v>
      </c>
      <c r="H747" s="328">
        <f t="shared" si="37"/>
        <v>103.488</v>
      </c>
      <c r="I747" s="329" t="s">
        <v>1</v>
      </c>
    </row>
    <row r="748" spans="1:9" s="18" customFormat="1" x14ac:dyDescent="0.2">
      <c r="A748" s="265"/>
      <c r="B748" s="571" t="s">
        <v>375</v>
      </c>
      <c r="C748" s="327">
        <v>8</v>
      </c>
      <c r="D748" s="327">
        <v>5.23</v>
      </c>
      <c r="E748" s="327">
        <v>0.8</v>
      </c>
      <c r="F748" s="327">
        <v>1.2</v>
      </c>
      <c r="G748" s="328">
        <f>F748*E748*D748</f>
        <v>5.0208000000000004</v>
      </c>
      <c r="H748" s="328">
        <f t="shared" si="37"/>
        <v>40.166400000000003</v>
      </c>
      <c r="I748" s="329" t="s">
        <v>1</v>
      </c>
    </row>
    <row r="749" spans="1:9" s="18" customFormat="1" x14ac:dyDescent="0.2">
      <c r="A749" s="265"/>
      <c r="B749" s="571" t="s">
        <v>376</v>
      </c>
      <c r="C749" s="327">
        <v>1</v>
      </c>
      <c r="D749" s="327">
        <v>1.26</v>
      </c>
      <c r="E749" s="327">
        <v>0.8</v>
      </c>
      <c r="F749" s="327">
        <v>1.2</v>
      </c>
      <c r="G749" s="328">
        <f>F749*E749*D749</f>
        <v>1.2096</v>
      </c>
      <c r="H749" s="328">
        <f>G749*C749</f>
        <v>1.2096</v>
      </c>
      <c r="I749" s="329" t="s">
        <v>1</v>
      </c>
    </row>
    <row r="750" spans="1:9" s="18" customFormat="1" x14ac:dyDescent="0.2">
      <c r="A750" s="265"/>
      <c r="B750" s="571"/>
      <c r="C750" s="327">
        <v>1</v>
      </c>
      <c r="D750" s="327">
        <v>1.1599999999999999</v>
      </c>
      <c r="E750" s="327">
        <v>0.8</v>
      </c>
      <c r="F750" s="327">
        <v>1.2</v>
      </c>
      <c r="G750" s="328">
        <f>F750*E750*D750</f>
        <v>1.1135999999999999</v>
      </c>
      <c r="H750" s="328">
        <f>G750*C750</f>
        <v>1.1135999999999999</v>
      </c>
      <c r="I750" s="329" t="s">
        <v>1</v>
      </c>
    </row>
    <row r="751" spans="1:9" s="18" customFormat="1" x14ac:dyDescent="0.2">
      <c r="A751" s="265"/>
      <c r="B751" s="581" t="s">
        <v>309</v>
      </c>
      <c r="C751" s="327"/>
      <c r="D751" s="327"/>
      <c r="E751" s="327"/>
      <c r="F751" s="327"/>
      <c r="G751" s="328"/>
      <c r="H751" s="328"/>
      <c r="I751" s="329"/>
    </row>
    <row r="752" spans="1:9" s="18" customFormat="1" x14ac:dyDescent="0.2">
      <c r="A752" s="265"/>
      <c r="B752" s="571" t="s">
        <v>304</v>
      </c>
      <c r="C752" s="327">
        <v>1</v>
      </c>
      <c r="D752" s="327">
        <v>16.38</v>
      </c>
      <c r="E752" s="327">
        <v>0.25</v>
      </c>
      <c r="F752" s="327">
        <v>3.14</v>
      </c>
      <c r="G752" s="328">
        <f>F752*E752*D752</f>
        <v>12.8583</v>
      </c>
      <c r="H752" s="328">
        <f>G752*C752</f>
        <v>12.8583</v>
      </c>
      <c r="I752" s="329" t="s">
        <v>1</v>
      </c>
    </row>
    <row r="753" spans="1:9" s="18" customFormat="1" x14ac:dyDescent="0.2">
      <c r="A753" s="265"/>
      <c r="B753" s="571" t="s">
        <v>280</v>
      </c>
      <c r="C753" s="327">
        <v>1</v>
      </c>
      <c r="D753" s="327">
        <v>16.38</v>
      </c>
      <c r="E753" s="327">
        <v>0.25</v>
      </c>
      <c r="F753" s="327">
        <v>3.14</v>
      </c>
      <c r="G753" s="328">
        <f>F753*E753*D753</f>
        <v>12.8583</v>
      </c>
      <c r="H753" s="328">
        <f>G753*C753</f>
        <v>12.8583</v>
      </c>
      <c r="I753" s="329" t="s">
        <v>1</v>
      </c>
    </row>
    <row r="754" spans="1:9" s="18" customFormat="1" x14ac:dyDescent="0.2">
      <c r="A754" s="265"/>
      <c r="B754" s="571"/>
      <c r="C754" s="327">
        <v>-2</v>
      </c>
      <c r="D754" s="327">
        <v>1</v>
      </c>
      <c r="E754" s="327">
        <v>0.25</v>
      </c>
      <c r="F754" s="327">
        <v>2.1</v>
      </c>
      <c r="G754" s="328">
        <f>F754*E754*D754</f>
        <v>0.52500000000000002</v>
      </c>
      <c r="H754" s="328">
        <f>G754*C754</f>
        <v>-1.05</v>
      </c>
      <c r="I754" s="329" t="s">
        <v>1</v>
      </c>
    </row>
    <row r="755" spans="1:9" s="18" customFormat="1" x14ac:dyDescent="0.2">
      <c r="A755" s="265"/>
      <c r="B755" s="571"/>
      <c r="C755" s="327">
        <v>-1</v>
      </c>
      <c r="D755" s="327">
        <f>1.6+1.79+1.68+1.6+1.78+1.68</f>
        <v>10.129999999999999</v>
      </c>
      <c r="E755" s="327">
        <v>0.25</v>
      </c>
      <c r="F755" s="327">
        <v>1.5</v>
      </c>
      <c r="G755" s="328">
        <f>F755*E755*D755</f>
        <v>3.7987499999999996</v>
      </c>
      <c r="H755" s="328">
        <f>G755*C755</f>
        <v>-3.7987499999999996</v>
      </c>
      <c r="I755" s="329" t="s">
        <v>1</v>
      </c>
    </row>
    <row r="756" spans="1:9" s="18" customFormat="1" x14ac:dyDescent="0.2">
      <c r="A756" s="265"/>
      <c r="B756" s="571"/>
      <c r="C756" s="327"/>
      <c r="D756" s="371"/>
      <c r="E756" s="327"/>
      <c r="F756" s="327"/>
      <c r="G756" s="328"/>
      <c r="H756" s="328"/>
      <c r="I756" s="329"/>
    </row>
    <row r="757" spans="1:9" s="18" customFormat="1" x14ac:dyDescent="0.2">
      <c r="A757" s="265"/>
      <c r="B757" s="571" t="s">
        <v>310</v>
      </c>
      <c r="C757" s="327">
        <v>3</v>
      </c>
      <c r="D757" s="713">
        <v>24.4</v>
      </c>
      <c r="E757" s="714"/>
      <c r="F757" s="327">
        <v>0.25</v>
      </c>
      <c r="G757" s="328">
        <v>1.34</v>
      </c>
      <c r="H757" s="328">
        <f>G757*C757</f>
        <v>4.0200000000000005</v>
      </c>
      <c r="I757" s="329" t="s">
        <v>1</v>
      </c>
    </row>
    <row r="758" spans="1:9" s="18" customFormat="1" x14ac:dyDescent="0.2">
      <c r="A758" s="265"/>
      <c r="B758" s="581" t="s">
        <v>311</v>
      </c>
      <c r="C758" s="327"/>
      <c r="D758" s="327"/>
      <c r="E758" s="327"/>
      <c r="F758" s="327"/>
      <c r="G758" s="328"/>
      <c r="H758" s="328"/>
      <c r="I758" s="329"/>
    </row>
    <row r="759" spans="1:9" s="18" customFormat="1" x14ac:dyDescent="0.2">
      <c r="A759" s="265"/>
      <c r="B759" s="571" t="s">
        <v>274</v>
      </c>
      <c r="C759" s="327">
        <v>1</v>
      </c>
      <c r="D759" s="713">
        <f>49.28+49.69</f>
        <v>98.97</v>
      </c>
      <c r="E759" s="714"/>
      <c r="F759" s="327">
        <v>0.15</v>
      </c>
      <c r="G759" s="328">
        <f>D759*F759</f>
        <v>14.845499999999999</v>
      </c>
      <c r="H759" s="328">
        <f t="shared" ref="H759:H764" si="38">G759*C759</f>
        <v>14.845499999999999</v>
      </c>
      <c r="I759" s="329" t="s">
        <v>1</v>
      </c>
    </row>
    <row r="760" spans="1:9" s="18" customFormat="1" x14ac:dyDescent="0.2">
      <c r="A760" s="265"/>
      <c r="B760" s="571" t="s">
        <v>60</v>
      </c>
      <c r="C760" s="327">
        <v>1</v>
      </c>
      <c r="D760" s="327">
        <v>19.45</v>
      </c>
      <c r="E760" s="327">
        <v>1.2</v>
      </c>
      <c r="F760" s="327">
        <v>0.1</v>
      </c>
      <c r="G760" s="328">
        <f>F760*E760*D760</f>
        <v>2.3339999999999996</v>
      </c>
      <c r="H760" s="328">
        <f t="shared" si="38"/>
        <v>2.3339999999999996</v>
      </c>
      <c r="I760" s="329" t="s">
        <v>1</v>
      </c>
    </row>
    <row r="761" spans="1:9" s="18" customFormat="1" x14ac:dyDescent="0.2">
      <c r="A761" s="265"/>
      <c r="B761" s="571"/>
      <c r="C761" s="327">
        <v>1</v>
      </c>
      <c r="D761" s="327">
        <v>6.8</v>
      </c>
      <c r="E761" s="327">
        <f>(2.31+2.19)/2</f>
        <v>2.25</v>
      </c>
      <c r="F761" s="327">
        <v>0.1</v>
      </c>
      <c r="G761" s="328">
        <f>F761*E761*D761</f>
        <v>1.53</v>
      </c>
      <c r="H761" s="328">
        <f t="shared" si="38"/>
        <v>1.53</v>
      </c>
      <c r="I761" s="329" t="s">
        <v>1</v>
      </c>
    </row>
    <row r="762" spans="1:9" s="18" customFormat="1" x14ac:dyDescent="0.2">
      <c r="A762" s="265"/>
      <c r="B762" s="571"/>
      <c r="C762" s="327">
        <v>1</v>
      </c>
      <c r="D762" s="327">
        <v>6.8</v>
      </c>
      <c r="E762" s="327">
        <v>0.8</v>
      </c>
      <c r="F762" s="327">
        <v>0.1</v>
      </c>
      <c r="G762" s="328">
        <f>F762*E762*D762</f>
        <v>0.54400000000000004</v>
      </c>
      <c r="H762" s="328">
        <f t="shared" si="38"/>
        <v>0.54400000000000004</v>
      </c>
      <c r="I762" s="329" t="s">
        <v>1</v>
      </c>
    </row>
    <row r="763" spans="1:9" s="18" customFormat="1" x14ac:dyDescent="0.2">
      <c r="A763" s="265"/>
      <c r="B763" s="571" t="s">
        <v>377</v>
      </c>
      <c r="C763" s="327">
        <v>2</v>
      </c>
      <c r="D763" s="327">
        <v>16.93</v>
      </c>
      <c r="E763" s="327">
        <v>0.8</v>
      </c>
      <c r="F763" s="327">
        <v>1.2</v>
      </c>
      <c r="G763" s="328">
        <f>F763*E763*D763</f>
        <v>16.252800000000001</v>
      </c>
      <c r="H763" s="328">
        <f t="shared" si="38"/>
        <v>32.505600000000001</v>
      </c>
      <c r="I763" s="329" t="s">
        <v>1</v>
      </c>
    </row>
    <row r="764" spans="1:9" s="18" customFormat="1" x14ac:dyDescent="0.2">
      <c r="A764" s="265"/>
      <c r="B764" s="571" t="s">
        <v>378</v>
      </c>
      <c r="C764" s="327">
        <v>3</v>
      </c>
      <c r="D764" s="327">
        <v>5.75</v>
      </c>
      <c r="E764" s="327">
        <v>0.8</v>
      </c>
      <c r="F764" s="327">
        <v>1.2</v>
      </c>
      <c r="G764" s="328">
        <f>F764*E764*D764</f>
        <v>5.52</v>
      </c>
      <c r="H764" s="328">
        <f t="shared" si="38"/>
        <v>16.559999999999999</v>
      </c>
      <c r="I764" s="329" t="s">
        <v>1</v>
      </c>
    </row>
    <row r="765" spans="1:9" s="18" customFormat="1" x14ac:dyDescent="0.2">
      <c r="A765" s="265"/>
      <c r="B765" s="581" t="s">
        <v>312</v>
      </c>
      <c r="C765" s="327"/>
      <c r="D765" s="327"/>
      <c r="E765" s="327"/>
      <c r="F765" s="327"/>
      <c r="G765" s="328"/>
      <c r="H765" s="328"/>
      <c r="I765" s="329"/>
    </row>
    <row r="766" spans="1:9" s="18" customFormat="1" x14ac:dyDescent="0.2">
      <c r="A766" s="265"/>
      <c r="B766" s="571" t="s">
        <v>304</v>
      </c>
      <c r="C766" s="327"/>
      <c r="D766" s="327"/>
      <c r="E766" s="327"/>
      <c r="F766" s="327"/>
      <c r="G766" s="328"/>
      <c r="H766" s="328"/>
      <c r="I766" s="329"/>
    </row>
    <row r="767" spans="1:9" s="18" customFormat="1" x14ac:dyDescent="0.2">
      <c r="A767" s="265"/>
      <c r="B767" s="571" t="s">
        <v>313</v>
      </c>
      <c r="C767" s="327">
        <v>1</v>
      </c>
      <c r="D767" s="327">
        <v>3.94</v>
      </c>
      <c r="E767" s="327">
        <v>0.15</v>
      </c>
      <c r="F767" s="327">
        <v>0.8</v>
      </c>
      <c r="G767" s="328">
        <f>F767*E767*D767</f>
        <v>0.4728</v>
      </c>
      <c r="H767" s="328">
        <f>G767*C767</f>
        <v>0.4728</v>
      </c>
      <c r="I767" s="329" t="s">
        <v>1</v>
      </c>
    </row>
    <row r="768" spans="1:9" s="18" customFormat="1" x14ac:dyDescent="0.2">
      <c r="A768" s="265"/>
      <c r="B768" s="571"/>
      <c r="C768" s="327">
        <v>1</v>
      </c>
      <c r="D768" s="327">
        <v>4.5599999999999996</v>
      </c>
      <c r="E768" s="327">
        <v>0.15</v>
      </c>
      <c r="F768" s="327">
        <v>2.75</v>
      </c>
      <c r="G768" s="328">
        <f>F768*E768*D768</f>
        <v>1.8809999999999998</v>
      </c>
      <c r="H768" s="328">
        <f>G768*C768</f>
        <v>1.8809999999999998</v>
      </c>
      <c r="I768" s="329" t="s">
        <v>1</v>
      </c>
    </row>
    <row r="769" spans="1:9" s="18" customFormat="1" x14ac:dyDescent="0.2">
      <c r="A769" s="265"/>
      <c r="B769" s="571"/>
      <c r="C769" s="327">
        <v>-1</v>
      </c>
      <c r="D769" s="327">
        <v>1.6</v>
      </c>
      <c r="E769" s="327">
        <v>0.15</v>
      </c>
      <c r="F769" s="327">
        <v>2.1</v>
      </c>
      <c r="G769" s="328">
        <f>F769*E769*D769</f>
        <v>0.504</v>
      </c>
      <c r="H769" s="328">
        <f>G769*C769</f>
        <v>-0.504</v>
      </c>
      <c r="I769" s="329" t="s">
        <v>1</v>
      </c>
    </row>
    <row r="770" spans="1:9" s="18" customFormat="1" x14ac:dyDescent="0.2">
      <c r="A770" s="265"/>
      <c r="B770" s="581" t="s">
        <v>314</v>
      </c>
      <c r="C770" s="327"/>
      <c r="D770" s="327"/>
      <c r="E770" s="327"/>
      <c r="F770" s="327"/>
      <c r="G770" s="328"/>
      <c r="H770" s="328"/>
      <c r="I770" s="329"/>
    </row>
    <row r="771" spans="1:9" s="18" customFormat="1" x14ac:dyDescent="0.2">
      <c r="A771" s="265"/>
      <c r="B771" s="571" t="s">
        <v>288</v>
      </c>
      <c r="C771" s="327">
        <v>2</v>
      </c>
      <c r="D771" s="327">
        <v>3.12</v>
      </c>
      <c r="E771" s="327">
        <v>1.2</v>
      </c>
      <c r="F771" s="327">
        <v>0.1</v>
      </c>
      <c r="G771" s="328">
        <f>F771*E771*D771</f>
        <v>0.37440000000000001</v>
      </c>
      <c r="H771" s="328">
        <f t="shared" ref="H771:H778" si="39">G771*C771</f>
        <v>0.74880000000000002</v>
      </c>
      <c r="I771" s="329" t="s">
        <v>1</v>
      </c>
    </row>
    <row r="772" spans="1:9" s="18" customFormat="1" x14ac:dyDescent="0.2">
      <c r="A772" s="265"/>
      <c r="B772" s="571"/>
      <c r="C772" s="327">
        <f>3*2</f>
        <v>6</v>
      </c>
      <c r="D772" s="327">
        <v>1.2</v>
      </c>
      <c r="E772" s="327">
        <v>0.1</v>
      </c>
      <c r="F772" s="327">
        <v>0.8</v>
      </c>
      <c r="G772" s="328">
        <f>F772*E772*D772</f>
        <v>9.6000000000000016E-2</v>
      </c>
      <c r="H772" s="328">
        <f t="shared" si="39"/>
        <v>0.57600000000000007</v>
      </c>
      <c r="I772" s="329" t="s">
        <v>1</v>
      </c>
    </row>
    <row r="773" spans="1:9" s="18" customFormat="1" x14ac:dyDescent="0.2">
      <c r="A773" s="265"/>
      <c r="B773" s="571" t="s">
        <v>315</v>
      </c>
      <c r="C773" s="327">
        <v>1</v>
      </c>
      <c r="D773" s="713">
        <v>9.5500000000000007</v>
      </c>
      <c r="E773" s="714"/>
      <c r="F773" s="327">
        <v>0.1</v>
      </c>
      <c r="G773" s="328">
        <f>D773*F773</f>
        <v>0.95500000000000007</v>
      </c>
      <c r="H773" s="328">
        <f t="shared" si="39"/>
        <v>0.95500000000000007</v>
      </c>
      <c r="I773" s="329" t="s">
        <v>1</v>
      </c>
    </row>
    <row r="774" spans="1:9" s="18" customFormat="1" x14ac:dyDescent="0.2">
      <c r="A774" s="265"/>
      <c r="B774" s="571"/>
      <c r="C774" s="327">
        <v>8</v>
      </c>
      <c r="D774" s="327">
        <v>0.6</v>
      </c>
      <c r="E774" s="327">
        <v>0.1</v>
      </c>
      <c r="F774" s="327">
        <v>0.8</v>
      </c>
      <c r="G774" s="328">
        <f>F774*E774*D774</f>
        <v>4.8000000000000008E-2</v>
      </c>
      <c r="H774" s="328">
        <f t="shared" si="39"/>
        <v>0.38400000000000006</v>
      </c>
      <c r="I774" s="329" t="s">
        <v>1</v>
      </c>
    </row>
    <row r="775" spans="1:9" s="18" customFormat="1" x14ac:dyDescent="0.2">
      <c r="A775" s="265"/>
      <c r="B775" s="571" t="s">
        <v>274</v>
      </c>
      <c r="C775" s="327">
        <v>1</v>
      </c>
      <c r="D775" s="713">
        <f>68.68+10.86</f>
        <v>79.540000000000006</v>
      </c>
      <c r="E775" s="714"/>
      <c r="F775" s="327">
        <v>0.15</v>
      </c>
      <c r="G775" s="328">
        <f>D775*F775</f>
        <v>11.931000000000001</v>
      </c>
      <c r="H775" s="328">
        <f t="shared" si="39"/>
        <v>11.931000000000001</v>
      </c>
      <c r="I775" s="329" t="s">
        <v>1</v>
      </c>
    </row>
    <row r="776" spans="1:9" s="18" customFormat="1" x14ac:dyDescent="0.2">
      <c r="A776" s="265"/>
      <c r="B776" s="571" t="s">
        <v>60</v>
      </c>
      <c r="C776" s="327">
        <v>1</v>
      </c>
      <c r="D776" s="327">
        <v>12.82</v>
      </c>
      <c r="E776" s="327">
        <v>1.2</v>
      </c>
      <c r="F776" s="327">
        <v>0.1</v>
      </c>
      <c r="G776" s="328">
        <f>F776*E776*D776</f>
        <v>1.5384</v>
      </c>
      <c r="H776" s="328">
        <f t="shared" si="39"/>
        <v>1.5384</v>
      </c>
      <c r="I776" s="329" t="s">
        <v>1</v>
      </c>
    </row>
    <row r="777" spans="1:9" s="18" customFormat="1" x14ac:dyDescent="0.2">
      <c r="A777" s="265"/>
      <c r="B777" s="571"/>
      <c r="C777" s="327">
        <v>1</v>
      </c>
      <c r="D777" s="327">
        <v>7.1</v>
      </c>
      <c r="E777" s="327">
        <f>1.02</f>
        <v>1.02</v>
      </c>
      <c r="F777" s="327">
        <v>0.1</v>
      </c>
      <c r="G777" s="328">
        <f>F777*E777*D777</f>
        <v>0.72420000000000007</v>
      </c>
      <c r="H777" s="328">
        <f t="shared" si="39"/>
        <v>0.72420000000000007</v>
      </c>
      <c r="I777" s="329" t="s">
        <v>1</v>
      </c>
    </row>
    <row r="778" spans="1:9" s="18" customFormat="1" x14ac:dyDescent="0.2">
      <c r="A778" s="265"/>
      <c r="B778" s="571"/>
      <c r="C778" s="327">
        <v>1</v>
      </c>
      <c r="D778" s="327">
        <v>14.02</v>
      </c>
      <c r="E778" s="327">
        <v>0.78</v>
      </c>
      <c r="F778" s="327">
        <v>0.1</v>
      </c>
      <c r="G778" s="328">
        <f>F778*E778*D778</f>
        <v>1.0935600000000001</v>
      </c>
      <c r="H778" s="328">
        <f t="shared" si="39"/>
        <v>1.0935600000000001</v>
      </c>
      <c r="I778" s="329" t="s">
        <v>1</v>
      </c>
    </row>
    <row r="779" spans="1:9" s="18" customFormat="1" x14ac:dyDescent="0.2">
      <c r="A779" s="265"/>
      <c r="B779" s="581" t="s">
        <v>316</v>
      </c>
      <c r="C779" s="327"/>
      <c r="D779" s="327"/>
      <c r="E779" s="327"/>
      <c r="F779" s="327"/>
      <c r="G779" s="328"/>
      <c r="H779" s="328"/>
      <c r="I779" s="329"/>
    </row>
    <row r="780" spans="1:9" s="18" customFormat="1" x14ac:dyDescent="0.2">
      <c r="A780" s="265"/>
      <c r="B780" s="571" t="s">
        <v>321</v>
      </c>
      <c r="C780" s="327">
        <v>1</v>
      </c>
      <c r="D780" s="711">
        <v>415.72</v>
      </c>
      <c r="E780" s="712"/>
      <c r="F780" s="327">
        <v>0.2</v>
      </c>
      <c r="G780" s="328">
        <f>D780*F780</f>
        <v>83.144000000000005</v>
      </c>
      <c r="H780" s="328">
        <f t="shared" ref="H780:H821" si="40">G780*C780</f>
        <v>83.144000000000005</v>
      </c>
      <c r="I780" s="329" t="s">
        <v>1</v>
      </c>
    </row>
    <row r="781" spans="1:9" s="18" customFormat="1" x14ac:dyDescent="0.2">
      <c r="A781" s="265"/>
      <c r="B781" s="571"/>
      <c r="C781" s="327">
        <v>1</v>
      </c>
      <c r="D781" s="711">
        <v>1004.03</v>
      </c>
      <c r="E781" s="712"/>
      <c r="F781" s="327">
        <v>0.2</v>
      </c>
      <c r="G781" s="328">
        <f>D781*F781</f>
        <v>200.80600000000001</v>
      </c>
      <c r="H781" s="328">
        <f t="shared" si="40"/>
        <v>200.80600000000001</v>
      </c>
      <c r="I781" s="329" t="s">
        <v>1</v>
      </c>
    </row>
    <row r="782" spans="1:9" s="18" customFormat="1" x14ac:dyDescent="0.2">
      <c r="A782" s="265"/>
      <c r="B782" s="571" t="s">
        <v>355</v>
      </c>
      <c r="C782" s="327">
        <v>1</v>
      </c>
      <c r="D782" s="327">
        <v>128.68</v>
      </c>
      <c r="E782" s="327">
        <v>0.2</v>
      </c>
      <c r="F782" s="327">
        <v>0.4</v>
      </c>
      <c r="G782" s="328">
        <f>F782*E782*D782</f>
        <v>10.294400000000003</v>
      </c>
      <c r="H782" s="328">
        <f t="shared" si="40"/>
        <v>10.294400000000003</v>
      </c>
      <c r="I782" s="329" t="s">
        <v>1</v>
      </c>
    </row>
    <row r="783" spans="1:9" s="18" customFormat="1" x14ac:dyDescent="0.2">
      <c r="A783" s="265"/>
      <c r="B783" s="571"/>
      <c r="C783" s="327">
        <v>1</v>
      </c>
      <c r="D783" s="327">
        <v>57.1</v>
      </c>
      <c r="E783" s="327">
        <v>0.2</v>
      </c>
      <c r="F783" s="327">
        <v>0.4</v>
      </c>
      <c r="G783" s="328">
        <f>F783*E783*D783</f>
        <v>4.5680000000000014</v>
      </c>
      <c r="H783" s="328">
        <f t="shared" si="40"/>
        <v>4.5680000000000014</v>
      </c>
      <c r="I783" s="329" t="s">
        <v>1</v>
      </c>
    </row>
    <row r="784" spans="1:9" s="18" customFormat="1" x14ac:dyDescent="0.2">
      <c r="A784" s="265"/>
      <c r="B784" s="571" t="s">
        <v>317</v>
      </c>
      <c r="C784" s="327">
        <v>1</v>
      </c>
      <c r="D784" s="711">
        <f>23.62+10.55+4.75</f>
        <v>38.92</v>
      </c>
      <c r="E784" s="712"/>
      <c r="F784" s="327">
        <v>0.1</v>
      </c>
      <c r="G784" s="328">
        <f>D784*F784</f>
        <v>3.8920000000000003</v>
      </c>
      <c r="H784" s="328">
        <f t="shared" si="40"/>
        <v>3.8920000000000003</v>
      </c>
      <c r="I784" s="329" t="s">
        <v>1</v>
      </c>
    </row>
    <row r="785" spans="1:9" s="18" customFormat="1" x14ac:dyDescent="0.2">
      <c r="A785" s="265"/>
      <c r="B785" s="571" t="s">
        <v>356</v>
      </c>
      <c r="C785" s="327">
        <v>1</v>
      </c>
      <c r="D785" s="327">
        <v>34.979999999999997</v>
      </c>
      <c r="E785" s="327">
        <v>0.2</v>
      </c>
      <c r="F785" s="327">
        <v>0.4</v>
      </c>
      <c r="G785" s="328">
        <f>F785*E785*D785</f>
        <v>2.7984000000000004</v>
      </c>
      <c r="H785" s="328">
        <f t="shared" si="40"/>
        <v>2.7984000000000004</v>
      </c>
      <c r="I785" s="329" t="s">
        <v>1</v>
      </c>
    </row>
    <row r="786" spans="1:9" s="18" customFormat="1" x14ac:dyDescent="0.2">
      <c r="A786" s="265"/>
      <c r="B786" s="571" t="s">
        <v>318</v>
      </c>
      <c r="C786" s="327">
        <v>1</v>
      </c>
      <c r="D786" s="711">
        <v>6.49</v>
      </c>
      <c r="E786" s="712"/>
      <c r="F786" s="327">
        <v>0.1</v>
      </c>
      <c r="G786" s="328">
        <f>D786*F786</f>
        <v>0.64900000000000002</v>
      </c>
      <c r="H786" s="328">
        <f t="shared" si="40"/>
        <v>0.64900000000000002</v>
      </c>
      <c r="I786" s="329" t="s">
        <v>1</v>
      </c>
    </row>
    <row r="787" spans="1:9" s="18" customFormat="1" x14ac:dyDescent="0.2">
      <c r="A787" s="265"/>
      <c r="B787" s="571" t="s">
        <v>356</v>
      </c>
      <c r="C787" s="327">
        <v>1</v>
      </c>
      <c r="D787" s="327">
        <v>34.979999999999997</v>
      </c>
      <c r="E787" s="327">
        <v>0.2</v>
      </c>
      <c r="F787" s="327">
        <v>0.4</v>
      </c>
      <c r="G787" s="328">
        <f>F787*E787*D787</f>
        <v>2.7984000000000004</v>
      </c>
      <c r="H787" s="328">
        <f t="shared" si="40"/>
        <v>2.7984000000000004</v>
      </c>
      <c r="I787" s="329" t="s">
        <v>1</v>
      </c>
    </row>
    <row r="788" spans="1:9" s="18" customFormat="1" x14ac:dyDescent="0.2">
      <c r="A788" s="265"/>
      <c r="B788" s="571" t="s">
        <v>319</v>
      </c>
      <c r="C788" s="327">
        <v>1</v>
      </c>
      <c r="D788" s="711">
        <v>12.84</v>
      </c>
      <c r="E788" s="712"/>
      <c r="F788" s="327">
        <v>0.1</v>
      </c>
      <c r="G788" s="328">
        <f>D788*F788</f>
        <v>1.284</v>
      </c>
      <c r="H788" s="328">
        <f t="shared" si="40"/>
        <v>1.284</v>
      </c>
      <c r="I788" s="329" t="s">
        <v>1</v>
      </c>
    </row>
    <row r="789" spans="1:9" s="18" customFormat="1" x14ac:dyDescent="0.2">
      <c r="A789" s="265"/>
      <c r="B789" s="571" t="s">
        <v>356</v>
      </c>
      <c r="C789" s="327">
        <v>1</v>
      </c>
      <c r="D789" s="327">
        <v>23.4</v>
      </c>
      <c r="E789" s="327">
        <v>0.2</v>
      </c>
      <c r="F789" s="327">
        <v>0.4</v>
      </c>
      <c r="G789" s="328">
        <f>F789*E789*D789</f>
        <v>1.8720000000000003</v>
      </c>
      <c r="H789" s="328">
        <f t="shared" si="40"/>
        <v>1.8720000000000003</v>
      </c>
      <c r="I789" s="329" t="s">
        <v>1</v>
      </c>
    </row>
    <row r="790" spans="1:9" s="18" customFormat="1" x14ac:dyDescent="0.2">
      <c r="A790" s="265"/>
      <c r="B790" s="571" t="s">
        <v>320</v>
      </c>
      <c r="C790" s="327">
        <v>1</v>
      </c>
      <c r="D790" s="711">
        <v>74.87</v>
      </c>
      <c r="E790" s="712"/>
      <c r="F790" s="327">
        <v>0.2</v>
      </c>
      <c r="G790" s="328">
        <f>D790*F790</f>
        <v>14.974000000000002</v>
      </c>
      <c r="H790" s="328">
        <f t="shared" si="40"/>
        <v>14.974000000000002</v>
      </c>
      <c r="I790" s="329" t="s">
        <v>1</v>
      </c>
    </row>
    <row r="791" spans="1:9" s="18" customFormat="1" x14ac:dyDescent="0.2">
      <c r="A791" s="265"/>
      <c r="B791" s="571" t="s">
        <v>355</v>
      </c>
      <c r="C791" s="327">
        <v>1</v>
      </c>
      <c r="D791" s="327">
        <v>34.619999999999997</v>
      </c>
      <c r="E791" s="327">
        <v>0.2</v>
      </c>
      <c r="F791" s="327">
        <v>0.4</v>
      </c>
      <c r="G791" s="328">
        <f>F791*E791*D791</f>
        <v>2.7696000000000005</v>
      </c>
      <c r="H791" s="328">
        <f t="shared" si="40"/>
        <v>2.7696000000000005</v>
      </c>
      <c r="I791" s="329" t="s">
        <v>1</v>
      </c>
    </row>
    <row r="792" spans="1:9" s="18" customFormat="1" x14ac:dyDescent="0.2">
      <c r="A792" s="265"/>
      <c r="B792" s="571" t="s">
        <v>322</v>
      </c>
      <c r="C792" s="327">
        <v>1</v>
      </c>
      <c r="D792" s="327">
        <v>7.01</v>
      </c>
      <c r="E792" s="327">
        <v>3.68</v>
      </c>
      <c r="F792" s="327">
        <v>0.15</v>
      </c>
      <c r="G792" s="328">
        <f>F792*E792*D792</f>
        <v>3.8695200000000001</v>
      </c>
      <c r="H792" s="328">
        <f t="shared" si="40"/>
        <v>3.8695200000000001</v>
      </c>
      <c r="I792" s="329" t="s">
        <v>1</v>
      </c>
    </row>
    <row r="793" spans="1:9" s="18" customFormat="1" x14ac:dyDescent="0.2">
      <c r="A793" s="265"/>
      <c r="B793" s="571" t="s">
        <v>357</v>
      </c>
      <c r="C793" s="327">
        <v>1</v>
      </c>
      <c r="D793" s="327">
        <v>7.1</v>
      </c>
      <c r="E793" s="327">
        <v>0.2</v>
      </c>
      <c r="F793" s="327">
        <v>0.4</v>
      </c>
      <c r="G793" s="328">
        <f>F793*E793*D793</f>
        <v>0.56800000000000006</v>
      </c>
      <c r="H793" s="328">
        <f t="shared" si="40"/>
        <v>0.56800000000000006</v>
      </c>
      <c r="I793" s="329" t="s">
        <v>1</v>
      </c>
    </row>
    <row r="794" spans="1:9" s="18" customFormat="1" x14ac:dyDescent="0.2">
      <c r="A794" s="265"/>
      <c r="B794" s="571" t="s">
        <v>323</v>
      </c>
      <c r="C794" s="327">
        <v>1</v>
      </c>
      <c r="D794" s="711">
        <v>40.340000000000003</v>
      </c>
      <c r="E794" s="712"/>
      <c r="F794" s="327">
        <v>0.2</v>
      </c>
      <c r="G794" s="328">
        <f>D794*F794</f>
        <v>8.0680000000000014</v>
      </c>
      <c r="H794" s="328">
        <f t="shared" si="40"/>
        <v>8.0680000000000014</v>
      </c>
      <c r="I794" s="329" t="s">
        <v>1</v>
      </c>
    </row>
    <row r="795" spans="1:9" s="18" customFormat="1" x14ac:dyDescent="0.2">
      <c r="A795" s="265"/>
      <c r="B795" s="571" t="s">
        <v>324</v>
      </c>
      <c r="C795" s="327">
        <v>15</v>
      </c>
      <c r="D795" s="327">
        <v>0.8</v>
      </c>
      <c r="E795" s="327">
        <v>0.3</v>
      </c>
      <c r="F795" s="327">
        <v>0.5</v>
      </c>
      <c r="G795" s="328">
        <f>F795*E795*D795</f>
        <v>0.12</v>
      </c>
      <c r="H795" s="328">
        <f t="shared" si="40"/>
        <v>1.7999999999999998</v>
      </c>
      <c r="I795" s="329" t="s">
        <v>1</v>
      </c>
    </row>
    <row r="796" spans="1:9" s="18" customFormat="1" x14ac:dyDescent="0.2">
      <c r="A796" s="265"/>
      <c r="B796" s="571" t="s">
        <v>325</v>
      </c>
      <c r="C796" s="327">
        <v>1</v>
      </c>
      <c r="D796" s="327">
        <v>9.5</v>
      </c>
      <c r="E796" s="327">
        <v>0.25</v>
      </c>
      <c r="F796" s="327">
        <v>0.6</v>
      </c>
      <c r="G796" s="328">
        <f>F796*E796*D796</f>
        <v>1.425</v>
      </c>
      <c r="H796" s="328">
        <f t="shared" si="40"/>
        <v>1.425</v>
      </c>
      <c r="I796" s="329" t="s">
        <v>1</v>
      </c>
    </row>
    <row r="797" spans="1:9" s="18" customFormat="1" x14ac:dyDescent="0.2">
      <c r="A797" s="265"/>
      <c r="B797" s="571" t="s">
        <v>326</v>
      </c>
      <c r="C797" s="327">
        <v>1</v>
      </c>
      <c r="D797" s="711">
        <v>4.74</v>
      </c>
      <c r="E797" s="712"/>
      <c r="F797" s="327">
        <v>0.1</v>
      </c>
      <c r="G797" s="328">
        <f>D797*F797</f>
        <v>0.47400000000000003</v>
      </c>
      <c r="H797" s="328">
        <f t="shared" si="40"/>
        <v>0.47400000000000003</v>
      </c>
      <c r="I797" s="329" t="s">
        <v>1</v>
      </c>
    </row>
    <row r="798" spans="1:9" s="18" customFormat="1" x14ac:dyDescent="0.2">
      <c r="A798" s="265"/>
      <c r="B798" s="571" t="s">
        <v>325</v>
      </c>
      <c r="C798" s="327">
        <v>1</v>
      </c>
      <c r="D798" s="327">
        <v>10.39</v>
      </c>
      <c r="E798" s="327">
        <v>0.25</v>
      </c>
      <c r="F798" s="327">
        <v>0.4</v>
      </c>
      <c r="G798" s="328">
        <f>F798*E798*D798</f>
        <v>1.0390000000000001</v>
      </c>
      <c r="H798" s="328">
        <f t="shared" si="40"/>
        <v>1.0390000000000001</v>
      </c>
      <c r="I798" s="329" t="s">
        <v>1</v>
      </c>
    </row>
    <row r="799" spans="1:9" s="18" customFormat="1" x14ac:dyDescent="0.2">
      <c r="A799" s="265"/>
      <c r="B799" s="571" t="s">
        <v>326</v>
      </c>
      <c r="C799" s="327">
        <v>1</v>
      </c>
      <c r="D799" s="711">
        <v>4.7</v>
      </c>
      <c r="E799" s="712"/>
      <c r="F799" s="327">
        <v>0.1</v>
      </c>
      <c r="G799" s="328">
        <f>D799*F799</f>
        <v>0.47000000000000003</v>
      </c>
      <c r="H799" s="328">
        <f t="shared" si="40"/>
        <v>0.47000000000000003</v>
      </c>
      <c r="I799" s="329" t="s">
        <v>1</v>
      </c>
    </row>
    <row r="800" spans="1:9" s="18" customFormat="1" x14ac:dyDescent="0.2">
      <c r="A800" s="265"/>
      <c r="B800" s="571" t="s">
        <v>327</v>
      </c>
      <c r="C800" s="327">
        <v>1</v>
      </c>
      <c r="D800" s="711">
        <v>8.52</v>
      </c>
      <c r="E800" s="712"/>
      <c r="F800" s="327">
        <v>0.2</v>
      </c>
      <c r="G800" s="328">
        <f>D800*F800</f>
        <v>1.704</v>
      </c>
      <c r="H800" s="328">
        <f t="shared" si="40"/>
        <v>1.704</v>
      </c>
      <c r="I800" s="329" t="s">
        <v>1</v>
      </c>
    </row>
    <row r="801" spans="1:9" s="18" customFormat="1" x14ac:dyDescent="0.2">
      <c r="A801" s="265"/>
      <c r="B801" s="571" t="s">
        <v>333</v>
      </c>
      <c r="C801" s="327">
        <v>1</v>
      </c>
      <c r="D801" s="711">
        <v>18.21</v>
      </c>
      <c r="E801" s="712"/>
      <c r="F801" s="327">
        <v>0.2</v>
      </c>
      <c r="G801" s="328">
        <f>D801*F801</f>
        <v>3.6420000000000003</v>
      </c>
      <c r="H801" s="328">
        <f t="shared" si="40"/>
        <v>3.6420000000000003</v>
      </c>
      <c r="I801" s="329" t="s">
        <v>1</v>
      </c>
    </row>
    <row r="802" spans="1:9" s="18" customFormat="1" x14ac:dyDescent="0.2">
      <c r="A802" s="265"/>
      <c r="B802" s="571" t="s">
        <v>379</v>
      </c>
      <c r="C802" s="327">
        <v>1</v>
      </c>
      <c r="D802" s="711">
        <f>105.79-10.15</f>
        <v>95.64</v>
      </c>
      <c r="E802" s="712"/>
      <c r="F802" s="327">
        <v>0.2</v>
      </c>
      <c r="G802" s="328">
        <f>D802*F802</f>
        <v>19.128</v>
      </c>
      <c r="H802" s="328">
        <f t="shared" si="40"/>
        <v>19.128</v>
      </c>
      <c r="I802" s="329" t="s">
        <v>1</v>
      </c>
    </row>
    <row r="803" spans="1:9" s="18" customFormat="1" x14ac:dyDescent="0.2">
      <c r="A803" s="265"/>
      <c r="B803" s="571" t="s">
        <v>380</v>
      </c>
      <c r="C803" s="327">
        <v>5</v>
      </c>
      <c r="D803" s="327">
        <v>4.43</v>
      </c>
      <c r="E803" s="327">
        <v>0.2</v>
      </c>
      <c r="F803" s="327">
        <v>0.6</v>
      </c>
      <c r="G803" s="328">
        <f>F803*E803*D803</f>
        <v>0.53159999999999996</v>
      </c>
      <c r="H803" s="328">
        <f t="shared" si="40"/>
        <v>2.6579999999999999</v>
      </c>
      <c r="I803" s="329" t="s">
        <v>1</v>
      </c>
    </row>
    <row r="804" spans="1:9" s="18" customFormat="1" x14ac:dyDescent="0.2">
      <c r="A804" s="265"/>
      <c r="B804" s="571" t="s">
        <v>328</v>
      </c>
      <c r="C804" s="327">
        <v>1</v>
      </c>
      <c r="D804" s="711">
        <f>26.31+33.39</f>
        <v>59.7</v>
      </c>
      <c r="E804" s="712"/>
      <c r="F804" s="327">
        <v>0.2</v>
      </c>
      <c r="G804" s="328">
        <f>D804*F804</f>
        <v>11.940000000000001</v>
      </c>
      <c r="H804" s="328">
        <f t="shared" si="40"/>
        <v>11.940000000000001</v>
      </c>
      <c r="I804" s="329" t="s">
        <v>1</v>
      </c>
    </row>
    <row r="805" spans="1:9" s="18" customFormat="1" x14ac:dyDescent="0.2">
      <c r="A805" s="265"/>
      <c r="B805" s="571" t="s">
        <v>359</v>
      </c>
      <c r="C805" s="327">
        <v>1</v>
      </c>
      <c r="D805" s="327">
        <v>27.12</v>
      </c>
      <c r="E805" s="327">
        <v>0.2</v>
      </c>
      <c r="F805" s="327">
        <v>0.4</v>
      </c>
      <c r="G805" s="328">
        <f>F805*E805*D805</f>
        <v>2.1696000000000004</v>
      </c>
      <c r="H805" s="328">
        <f t="shared" si="40"/>
        <v>2.1696000000000004</v>
      </c>
      <c r="I805" s="329" t="s">
        <v>1</v>
      </c>
    </row>
    <row r="806" spans="1:9" s="18" customFormat="1" x14ac:dyDescent="0.2">
      <c r="A806" s="265"/>
      <c r="B806" s="571"/>
      <c r="C806" s="327">
        <v>1</v>
      </c>
      <c r="D806" s="327">
        <v>32.89</v>
      </c>
      <c r="E806" s="327">
        <v>0.2</v>
      </c>
      <c r="F806" s="327">
        <v>0.4</v>
      </c>
      <c r="G806" s="328">
        <f>F806*E806*D806</f>
        <v>2.6312000000000006</v>
      </c>
      <c r="H806" s="328">
        <f t="shared" si="40"/>
        <v>2.6312000000000006</v>
      </c>
      <c r="I806" s="329" t="s">
        <v>1</v>
      </c>
    </row>
    <row r="807" spans="1:9" s="18" customFormat="1" x14ac:dyDescent="0.2">
      <c r="A807" s="265"/>
      <c r="B807" s="571" t="s">
        <v>329</v>
      </c>
      <c r="C807" s="327">
        <v>1</v>
      </c>
      <c r="D807" s="711">
        <v>7.03</v>
      </c>
      <c r="E807" s="712"/>
      <c r="F807" s="327">
        <v>0.1</v>
      </c>
      <c r="G807" s="328">
        <f>D807*F807</f>
        <v>0.70300000000000007</v>
      </c>
      <c r="H807" s="328">
        <f t="shared" si="40"/>
        <v>0.70300000000000007</v>
      </c>
      <c r="I807" s="329" t="s">
        <v>1</v>
      </c>
    </row>
    <row r="808" spans="1:9" s="18" customFormat="1" x14ac:dyDescent="0.2">
      <c r="A808" s="265"/>
      <c r="B808" s="571" t="s">
        <v>359</v>
      </c>
      <c r="C808" s="327">
        <v>1</v>
      </c>
      <c r="D808" s="327">
        <v>6.28</v>
      </c>
      <c r="E808" s="327">
        <v>0.2</v>
      </c>
      <c r="F808" s="327">
        <v>0.4</v>
      </c>
      <c r="G808" s="328">
        <f>F808*E808*D808</f>
        <v>0.50240000000000007</v>
      </c>
      <c r="H808" s="328">
        <f t="shared" si="40"/>
        <v>0.50240000000000007</v>
      </c>
      <c r="I808" s="329" t="s">
        <v>1</v>
      </c>
    </row>
    <row r="809" spans="1:9" s="18" customFormat="1" x14ac:dyDescent="0.2">
      <c r="A809" s="265"/>
      <c r="B809" s="571"/>
      <c r="C809" s="327">
        <v>1</v>
      </c>
      <c r="D809" s="327">
        <v>6</v>
      </c>
      <c r="E809" s="327">
        <v>0.2</v>
      </c>
      <c r="F809" s="327">
        <v>0.4</v>
      </c>
      <c r="G809" s="328">
        <f>F809*E809*D809</f>
        <v>0.48000000000000009</v>
      </c>
      <c r="H809" s="328">
        <f t="shared" si="40"/>
        <v>0.48000000000000009</v>
      </c>
      <c r="I809" s="329" t="s">
        <v>1</v>
      </c>
    </row>
    <row r="810" spans="1:9" s="18" customFormat="1" x14ac:dyDescent="0.2">
      <c r="A810" s="265"/>
      <c r="B810" s="571" t="s">
        <v>358</v>
      </c>
      <c r="C810" s="327">
        <v>1</v>
      </c>
      <c r="D810" s="711">
        <v>575.75</v>
      </c>
      <c r="E810" s="712"/>
      <c r="F810" s="327">
        <v>0.15</v>
      </c>
      <c r="G810" s="328">
        <f>D810*F810</f>
        <v>86.362499999999997</v>
      </c>
      <c r="H810" s="328">
        <f t="shared" si="40"/>
        <v>86.362499999999997</v>
      </c>
      <c r="I810" s="329" t="s">
        <v>1</v>
      </c>
    </row>
    <row r="811" spans="1:9" s="18" customFormat="1" x14ac:dyDescent="0.2">
      <c r="A811" s="265"/>
      <c r="B811" s="571" t="s">
        <v>331</v>
      </c>
      <c r="C811" s="327">
        <v>1</v>
      </c>
      <c r="D811" s="711">
        <v>295.57</v>
      </c>
      <c r="E811" s="712"/>
      <c r="F811" s="327">
        <v>0.15</v>
      </c>
      <c r="G811" s="328">
        <f>D811*F811</f>
        <v>44.335499999999996</v>
      </c>
      <c r="H811" s="328">
        <f t="shared" si="40"/>
        <v>44.335499999999996</v>
      </c>
      <c r="I811" s="329" t="s">
        <v>1</v>
      </c>
    </row>
    <row r="812" spans="1:9" s="18" customFormat="1" x14ac:dyDescent="0.2">
      <c r="A812" s="265"/>
      <c r="B812" s="571" t="s">
        <v>330</v>
      </c>
      <c r="C812" s="327">
        <v>1</v>
      </c>
      <c r="D812" s="711">
        <v>295.61</v>
      </c>
      <c r="E812" s="712"/>
      <c r="F812" s="327">
        <v>0.15</v>
      </c>
      <c r="G812" s="328">
        <f>D812*F812</f>
        <v>44.341500000000003</v>
      </c>
      <c r="H812" s="328">
        <f t="shared" si="40"/>
        <v>44.341500000000003</v>
      </c>
      <c r="I812" s="329" t="s">
        <v>1</v>
      </c>
    </row>
    <row r="813" spans="1:9" s="18" customFormat="1" x14ac:dyDescent="0.2">
      <c r="A813" s="265"/>
      <c r="B813" s="571" t="s">
        <v>332</v>
      </c>
      <c r="C813" s="327">
        <v>1</v>
      </c>
      <c r="D813" s="327">
        <v>5.52</v>
      </c>
      <c r="E813" s="327">
        <f>(2.8+3.12)/2</f>
        <v>2.96</v>
      </c>
      <c r="F813" s="327">
        <v>0.1</v>
      </c>
      <c r="G813" s="328">
        <f>F813*E813*D813</f>
        <v>1.6339199999999998</v>
      </c>
      <c r="H813" s="328">
        <f t="shared" si="40"/>
        <v>1.6339199999999998</v>
      </c>
      <c r="I813" s="329" t="s">
        <v>1</v>
      </c>
    </row>
    <row r="814" spans="1:9" s="18" customFormat="1" x14ac:dyDescent="0.2">
      <c r="A814" s="265"/>
      <c r="B814" s="571"/>
      <c r="C814" s="327">
        <v>1</v>
      </c>
      <c r="D814" s="327">
        <v>4.1100000000000003</v>
      </c>
      <c r="E814" s="327">
        <f>(7.74+5.64+3.39)/3</f>
        <v>5.59</v>
      </c>
      <c r="F814" s="327">
        <v>0.1</v>
      </c>
      <c r="G814" s="328">
        <f>F814*E814*D814</f>
        <v>2.2974900000000003</v>
      </c>
      <c r="H814" s="328">
        <f t="shared" si="40"/>
        <v>2.2974900000000003</v>
      </c>
      <c r="I814" s="329" t="s">
        <v>1</v>
      </c>
    </row>
    <row r="815" spans="1:9" s="18" customFormat="1" x14ac:dyDescent="0.2">
      <c r="A815" s="265"/>
      <c r="B815" s="571" t="s">
        <v>334</v>
      </c>
      <c r="C815" s="327">
        <v>4</v>
      </c>
      <c r="D815" s="327">
        <v>0.3</v>
      </c>
      <c r="E815" s="327">
        <v>0.3</v>
      </c>
      <c r="F815" s="327">
        <v>2.7</v>
      </c>
      <c r="G815" s="328">
        <f>F815*E815*D815</f>
        <v>0.24299999999999999</v>
      </c>
      <c r="H815" s="328">
        <f t="shared" si="40"/>
        <v>0.97199999999999998</v>
      </c>
      <c r="I815" s="329" t="s">
        <v>1</v>
      </c>
    </row>
    <row r="816" spans="1:9" s="18" customFormat="1" x14ac:dyDescent="0.2">
      <c r="A816" s="265"/>
      <c r="B816" s="571" t="s">
        <v>335</v>
      </c>
      <c r="C816" s="327">
        <v>1</v>
      </c>
      <c r="D816" s="327">
        <v>2.86</v>
      </c>
      <c r="E816" s="327">
        <v>2.96</v>
      </c>
      <c r="F816" s="327">
        <v>0.2</v>
      </c>
      <c r="G816" s="328">
        <f>F816*E816*D816</f>
        <v>1.6931199999999997</v>
      </c>
      <c r="H816" s="328">
        <f t="shared" si="40"/>
        <v>1.6931199999999997</v>
      </c>
      <c r="I816" s="329" t="s">
        <v>1</v>
      </c>
    </row>
    <row r="817" spans="1:9" s="18" customFormat="1" x14ac:dyDescent="0.2">
      <c r="A817" s="265"/>
      <c r="B817" s="571" t="s">
        <v>336</v>
      </c>
      <c r="C817" s="327">
        <v>1</v>
      </c>
      <c r="D817" s="327">
        <v>2.86</v>
      </c>
      <c r="E817" s="327">
        <v>2.96</v>
      </c>
      <c r="F817" s="327">
        <v>0.4</v>
      </c>
      <c r="G817" s="328">
        <f>F817*E817*D817</f>
        <v>3.3862399999999995</v>
      </c>
      <c r="H817" s="328">
        <f t="shared" si="40"/>
        <v>3.3862399999999995</v>
      </c>
      <c r="I817" s="329" t="s">
        <v>1</v>
      </c>
    </row>
    <row r="818" spans="1:9" s="18" customFormat="1" x14ac:dyDescent="0.2">
      <c r="A818" s="265"/>
      <c r="B818" s="571" t="s">
        <v>381</v>
      </c>
      <c r="C818" s="327">
        <v>1</v>
      </c>
      <c r="D818" s="711">
        <v>79.58</v>
      </c>
      <c r="E818" s="712"/>
      <c r="F818" s="327">
        <v>0.2</v>
      </c>
      <c r="G818" s="328">
        <f>D818*F818</f>
        <v>15.916</v>
      </c>
      <c r="H818" s="328">
        <f t="shared" si="40"/>
        <v>15.916</v>
      </c>
      <c r="I818" s="329" t="s">
        <v>1</v>
      </c>
    </row>
    <row r="819" spans="1:9" s="18" customFormat="1" x14ac:dyDescent="0.2">
      <c r="A819" s="265"/>
      <c r="B819" s="571" t="s">
        <v>355</v>
      </c>
      <c r="C819" s="327">
        <v>1</v>
      </c>
      <c r="D819" s="327">
        <f>7.96+7.96+9.71</f>
        <v>25.630000000000003</v>
      </c>
      <c r="E819" s="327">
        <v>0.2</v>
      </c>
      <c r="F819" s="327">
        <v>0.4</v>
      </c>
      <c r="G819" s="328">
        <f>F819*E819*D819</f>
        <v>2.0504000000000007</v>
      </c>
      <c r="H819" s="328">
        <f t="shared" si="40"/>
        <v>2.0504000000000007</v>
      </c>
      <c r="I819" s="329" t="s">
        <v>1</v>
      </c>
    </row>
    <row r="820" spans="1:9" s="18" customFormat="1" x14ac:dyDescent="0.2">
      <c r="A820" s="265"/>
      <c r="B820" s="571" t="s">
        <v>382</v>
      </c>
      <c r="C820" s="327">
        <v>1</v>
      </c>
      <c r="D820" s="711">
        <v>78.61</v>
      </c>
      <c r="E820" s="712"/>
      <c r="F820" s="327">
        <v>0.2</v>
      </c>
      <c r="G820" s="328">
        <f>D820*F820</f>
        <v>15.722000000000001</v>
      </c>
      <c r="H820" s="328">
        <f t="shared" si="40"/>
        <v>15.722000000000001</v>
      </c>
      <c r="I820" s="329" t="s">
        <v>1</v>
      </c>
    </row>
    <row r="821" spans="1:9" s="18" customFormat="1" x14ac:dyDescent="0.2">
      <c r="A821" s="265"/>
      <c r="B821" s="571" t="s">
        <v>355</v>
      </c>
      <c r="C821" s="327">
        <v>1</v>
      </c>
      <c r="D821" s="327">
        <f>7.77+9.03+7.73</f>
        <v>24.529999999999998</v>
      </c>
      <c r="E821" s="327">
        <v>0.2</v>
      </c>
      <c r="F821" s="327">
        <v>0.4</v>
      </c>
      <c r="G821" s="328">
        <f>F821*E821*D821</f>
        <v>1.9624000000000001</v>
      </c>
      <c r="H821" s="328">
        <f t="shared" si="40"/>
        <v>1.9624000000000001</v>
      </c>
      <c r="I821" s="329" t="s">
        <v>1</v>
      </c>
    </row>
    <row r="822" spans="1:9" s="18" customFormat="1" x14ac:dyDescent="0.2">
      <c r="A822" s="265"/>
      <c r="B822" s="581" t="s">
        <v>189</v>
      </c>
      <c r="C822" s="327"/>
      <c r="D822" s="327"/>
      <c r="E822" s="327"/>
      <c r="F822" s="327"/>
      <c r="G822" s="328"/>
      <c r="H822" s="328"/>
      <c r="I822" s="329"/>
    </row>
    <row r="823" spans="1:9" s="18" customFormat="1" x14ac:dyDescent="0.2">
      <c r="A823" s="598"/>
      <c r="B823" s="593" t="s">
        <v>337</v>
      </c>
      <c r="C823" s="599">
        <v>1</v>
      </c>
      <c r="D823" s="599">
        <v>68.34</v>
      </c>
      <c r="E823" s="599">
        <f>(2.53+2.02)/2</f>
        <v>2.2749999999999999</v>
      </c>
      <c r="F823" s="599">
        <v>0.15</v>
      </c>
      <c r="G823" s="600">
        <f t="shared" ref="G823:G869" si="41">F823*E823*D823</f>
        <v>23.321025000000002</v>
      </c>
      <c r="H823" s="600">
        <f t="shared" ref="H823:H869" si="42">G823*C823</f>
        <v>23.321025000000002</v>
      </c>
      <c r="I823" s="601" t="s">
        <v>1</v>
      </c>
    </row>
    <row r="824" spans="1:9" s="18" customFormat="1" x14ac:dyDescent="0.2">
      <c r="A824" s="265"/>
      <c r="B824" s="571" t="s">
        <v>348</v>
      </c>
      <c r="C824" s="327">
        <v>1</v>
      </c>
      <c r="D824" s="327">
        <v>68.34</v>
      </c>
      <c r="E824" s="327">
        <v>0.15</v>
      </c>
      <c r="F824" s="327">
        <v>0.4</v>
      </c>
      <c r="G824" s="328">
        <f t="shared" si="41"/>
        <v>4.1004000000000005</v>
      </c>
      <c r="H824" s="328">
        <f t="shared" si="42"/>
        <v>4.1004000000000005</v>
      </c>
      <c r="I824" s="329" t="s">
        <v>1</v>
      </c>
    </row>
    <row r="825" spans="1:9" s="18" customFormat="1" x14ac:dyDescent="0.2">
      <c r="A825" s="265"/>
      <c r="B825" s="571" t="s">
        <v>350</v>
      </c>
      <c r="C825" s="327">
        <v>1</v>
      </c>
      <c r="D825" s="327">
        <v>68.34</v>
      </c>
      <c r="E825" s="327">
        <v>0.15</v>
      </c>
      <c r="F825" s="327">
        <v>0.2</v>
      </c>
      <c r="G825" s="328">
        <f t="shared" si="41"/>
        <v>2.0502000000000002</v>
      </c>
      <c r="H825" s="328">
        <f t="shared" si="42"/>
        <v>2.0502000000000002</v>
      </c>
      <c r="I825" s="329" t="s">
        <v>1</v>
      </c>
    </row>
    <row r="826" spans="1:9" s="18" customFormat="1" x14ac:dyDescent="0.2">
      <c r="A826" s="265"/>
      <c r="B826" s="571" t="s">
        <v>340</v>
      </c>
      <c r="C826" s="327">
        <v>1</v>
      </c>
      <c r="D826" s="327">
        <f>120-68.34</f>
        <v>51.66</v>
      </c>
      <c r="E826" s="327">
        <v>2.2599999999999998</v>
      </c>
      <c r="F826" s="327">
        <v>0.15</v>
      </c>
      <c r="G826" s="328">
        <f t="shared" si="41"/>
        <v>17.512739999999997</v>
      </c>
      <c r="H826" s="328">
        <f t="shared" si="42"/>
        <v>17.512739999999997</v>
      </c>
      <c r="I826" s="329" t="s">
        <v>1</v>
      </c>
    </row>
    <row r="827" spans="1:9" s="18" customFormat="1" x14ac:dyDescent="0.2">
      <c r="A827" s="265"/>
      <c r="B827" s="571" t="s">
        <v>348</v>
      </c>
      <c r="C827" s="327">
        <v>1</v>
      </c>
      <c r="D827" s="327">
        <f>120-68.34</f>
        <v>51.66</v>
      </c>
      <c r="E827" s="327">
        <v>0.15</v>
      </c>
      <c r="F827" s="327">
        <v>0.4</v>
      </c>
      <c r="G827" s="328">
        <f t="shared" si="41"/>
        <v>3.0995999999999997</v>
      </c>
      <c r="H827" s="328">
        <f t="shared" si="42"/>
        <v>3.0995999999999997</v>
      </c>
      <c r="I827" s="329" t="s">
        <v>1</v>
      </c>
    </row>
    <row r="828" spans="1:9" s="18" customFormat="1" x14ac:dyDescent="0.2">
      <c r="A828" s="265"/>
      <c r="B828" s="571" t="s">
        <v>350</v>
      </c>
      <c r="C828" s="327">
        <v>1</v>
      </c>
      <c r="D828" s="327">
        <f>120-68.34</f>
        <v>51.66</v>
      </c>
      <c r="E828" s="327">
        <v>0.15</v>
      </c>
      <c r="F828" s="327">
        <v>0.2</v>
      </c>
      <c r="G828" s="328">
        <f t="shared" si="41"/>
        <v>1.5497999999999998</v>
      </c>
      <c r="H828" s="328">
        <f t="shared" si="42"/>
        <v>1.5497999999999998</v>
      </c>
      <c r="I828" s="329" t="s">
        <v>1</v>
      </c>
    </row>
    <row r="829" spans="1:9" s="18" customFormat="1" x14ac:dyDescent="0.2">
      <c r="A829" s="265"/>
      <c r="B829" s="571" t="s">
        <v>341</v>
      </c>
      <c r="C829" s="327">
        <v>1</v>
      </c>
      <c r="D829" s="327">
        <f>266.74-120</f>
        <v>146.74</v>
      </c>
      <c r="E829" s="327">
        <v>2.37</v>
      </c>
      <c r="F829" s="327">
        <v>0.15</v>
      </c>
      <c r="G829" s="328">
        <f t="shared" si="41"/>
        <v>52.166069999999998</v>
      </c>
      <c r="H829" s="328">
        <f t="shared" si="42"/>
        <v>52.166069999999998</v>
      </c>
      <c r="I829" s="329" t="s">
        <v>1</v>
      </c>
    </row>
    <row r="830" spans="1:9" s="18" customFormat="1" x14ac:dyDescent="0.2">
      <c r="A830" s="265"/>
      <c r="B830" s="571" t="s">
        <v>348</v>
      </c>
      <c r="C830" s="327">
        <v>1</v>
      </c>
      <c r="D830" s="327">
        <f>266.74-120</f>
        <v>146.74</v>
      </c>
      <c r="E830" s="327">
        <v>0.15</v>
      </c>
      <c r="F830" s="327">
        <v>0.4</v>
      </c>
      <c r="G830" s="328">
        <f t="shared" si="41"/>
        <v>8.8043999999999993</v>
      </c>
      <c r="H830" s="328">
        <f t="shared" si="42"/>
        <v>8.8043999999999993</v>
      </c>
      <c r="I830" s="329" t="s">
        <v>1</v>
      </c>
    </row>
    <row r="831" spans="1:9" s="18" customFormat="1" x14ac:dyDescent="0.2">
      <c r="A831" s="265"/>
      <c r="B831" s="571" t="s">
        <v>350</v>
      </c>
      <c r="C831" s="327">
        <v>1</v>
      </c>
      <c r="D831" s="327">
        <f>266.74-120</f>
        <v>146.74</v>
      </c>
      <c r="E831" s="327">
        <v>0.15</v>
      </c>
      <c r="F831" s="327">
        <v>0.2</v>
      </c>
      <c r="G831" s="328">
        <f t="shared" si="41"/>
        <v>4.4021999999999997</v>
      </c>
      <c r="H831" s="328">
        <f t="shared" si="42"/>
        <v>4.4021999999999997</v>
      </c>
      <c r="I831" s="329" t="s">
        <v>1</v>
      </c>
    </row>
    <row r="832" spans="1:9" s="18" customFormat="1" x14ac:dyDescent="0.2">
      <c r="A832" s="265"/>
      <c r="B832" s="571" t="s">
        <v>342</v>
      </c>
      <c r="C832" s="327">
        <v>1</v>
      </c>
      <c r="D832" s="327">
        <f>341.83-266.74</f>
        <v>75.089999999999975</v>
      </c>
      <c r="E832" s="327">
        <f>(2.7+2.5)/2</f>
        <v>2.6</v>
      </c>
      <c r="F832" s="327">
        <v>0.15</v>
      </c>
      <c r="G832" s="328">
        <f t="shared" si="41"/>
        <v>29.285099999999993</v>
      </c>
      <c r="H832" s="328">
        <f t="shared" si="42"/>
        <v>29.285099999999993</v>
      </c>
      <c r="I832" s="329" t="s">
        <v>1</v>
      </c>
    </row>
    <row r="833" spans="1:9" s="18" customFormat="1" x14ac:dyDescent="0.2">
      <c r="A833" s="265"/>
      <c r="B833" s="571" t="s">
        <v>348</v>
      </c>
      <c r="C833" s="327">
        <v>1</v>
      </c>
      <c r="D833" s="327">
        <f>341.83-266.74</f>
        <v>75.089999999999975</v>
      </c>
      <c r="E833" s="327">
        <v>0.15</v>
      </c>
      <c r="F833" s="327">
        <v>0.4</v>
      </c>
      <c r="G833" s="328">
        <f t="shared" si="41"/>
        <v>4.5053999999999981</v>
      </c>
      <c r="H833" s="328">
        <f t="shared" si="42"/>
        <v>4.5053999999999981</v>
      </c>
      <c r="I833" s="329" t="s">
        <v>1</v>
      </c>
    </row>
    <row r="834" spans="1:9" s="18" customFormat="1" x14ac:dyDescent="0.2">
      <c r="A834" s="265"/>
      <c r="B834" s="571" t="s">
        <v>350</v>
      </c>
      <c r="C834" s="327">
        <v>1</v>
      </c>
      <c r="D834" s="327">
        <f>341.83-266.74</f>
        <v>75.089999999999975</v>
      </c>
      <c r="E834" s="327">
        <v>0.15</v>
      </c>
      <c r="F834" s="327">
        <v>0.2</v>
      </c>
      <c r="G834" s="328">
        <f t="shared" si="41"/>
        <v>2.252699999999999</v>
      </c>
      <c r="H834" s="328">
        <f t="shared" si="42"/>
        <v>2.252699999999999</v>
      </c>
      <c r="I834" s="329" t="s">
        <v>1</v>
      </c>
    </row>
    <row r="835" spans="1:9" s="18" customFormat="1" x14ac:dyDescent="0.2">
      <c r="A835" s="265"/>
      <c r="B835" s="571" t="s">
        <v>338</v>
      </c>
      <c r="C835" s="327">
        <v>1</v>
      </c>
      <c r="D835" s="327">
        <f>350.85-341.83</f>
        <v>9.0200000000000387</v>
      </c>
      <c r="E835" s="327">
        <v>2.19</v>
      </c>
      <c r="F835" s="327">
        <v>0.15</v>
      </c>
      <c r="G835" s="328">
        <f t="shared" si="41"/>
        <v>2.9630700000000125</v>
      </c>
      <c r="H835" s="328">
        <f t="shared" si="42"/>
        <v>2.9630700000000125</v>
      </c>
      <c r="I835" s="329" t="s">
        <v>1</v>
      </c>
    </row>
    <row r="836" spans="1:9" s="18" customFormat="1" x14ac:dyDescent="0.2">
      <c r="A836" s="265"/>
      <c r="B836" s="571" t="s">
        <v>348</v>
      </c>
      <c r="C836" s="327">
        <v>1</v>
      </c>
      <c r="D836" s="327">
        <f>350.85-341.83</f>
        <v>9.0200000000000387</v>
      </c>
      <c r="E836" s="327">
        <v>0.15</v>
      </c>
      <c r="F836" s="327">
        <v>0.4</v>
      </c>
      <c r="G836" s="328">
        <f t="shared" si="41"/>
        <v>0.54120000000000235</v>
      </c>
      <c r="H836" s="328">
        <f t="shared" si="42"/>
        <v>0.54120000000000235</v>
      </c>
      <c r="I836" s="329" t="s">
        <v>1</v>
      </c>
    </row>
    <row r="837" spans="1:9" s="18" customFormat="1" x14ac:dyDescent="0.2">
      <c r="A837" s="265"/>
      <c r="B837" s="571" t="s">
        <v>350</v>
      </c>
      <c r="C837" s="327">
        <v>1</v>
      </c>
      <c r="D837" s="327">
        <f>350.85-341.83</f>
        <v>9.0200000000000387</v>
      </c>
      <c r="E837" s="327">
        <v>0.15</v>
      </c>
      <c r="F837" s="327">
        <v>0.2</v>
      </c>
      <c r="G837" s="328">
        <f t="shared" si="41"/>
        <v>0.27060000000000117</v>
      </c>
      <c r="H837" s="328">
        <f t="shared" si="42"/>
        <v>0.27060000000000117</v>
      </c>
      <c r="I837" s="329" t="s">
        <v>1</v>
      </c>
    </row>
    <row r="838" spans="1:9" s="18" customFormat="1" x14ac:dyDescent="0.2">
      <c r="A838" s="265"/>
      <c r="B838" s="571" t="s">
        <v>351</v>
      </c>
      <c r="C838" s="327">
        <v>1</v>
      </c>
      <c r="D838" s="327">
        <f>406.55-350.85</f>
        <v>55.699999999999989</v>
      </c>
      <c r="E838" s="327">
        <v>2.2000000000000002</v>
      </c>
      <c r="F838" s="327">
        <v>0.15</v>
      </c>
      <c r="G838" s="328">
        <f t="shared" si="41"/>
        <v>18.380999999999997</v>
      </c>
      <c r="H838" s="328">
        <f t="shared" si="42"/>
        <v>18.380999999999997</v>
      </c>
      <c r="I838" s="329" t="s">
        <v>1</v>
      </c>
    </row>
    <row r="839" spans="1:9" s="18" customFormat="1" x14ac:dyDescent="0.2">
      <c r="A839" s="265"/>
      <c r="B839" s="571" t="s">
        <v>348</v>
      </c>
      <c r="C839" s="327">
        <v>1</v>
      </c>
      <c r="D839" s="327">
        <f>406.55-350.85</f>
        <v>55.699999999999989</v>
      </c>
      <c r="E839" s="327">
        <v>0.15</v>
      </c>
      <c r="F839" s="327">
        <v>0.4</v>
      </c>
      <c r="G839" s="328">
        <f t="shared" si="41"/>
        <v>3.3419999999999992</v>
      </c>
      <c r="H839" s="328">
        <f t="shared" si="42"/>
        <v>3.3419999999999992</v>
      </c>
      <c r="I839" s="329" t="s">
        <v>1</v>
      </c>
    </row>
    <row r="840" spans="1:9" s="18" customFormat="1" x14ac:dyDescent="0.2">
      <c r="A840" s="265"/>
      <c r="B840" s="571" t="s">
        <v>350</v>
      </c>
      <c r="C840" s="327">
        <v>1</v>
      </c>
      <c r="D840" s="327">
        <f>406.55-350.85</f>
        <v>55.699999999999989</v>
      </c>
      <c r="E840" s="327">
        <v>0.15</v>
      </c>
      <c r="F840" s="327">
        <v>0.2</v>
      </c>
      <c r="G840" s="328">
        <f t="shared" si="41"/>
        <v>1.6709999999999996</v>
      </c>
      <c r="H840" s="328">
        <f t="shared" si="42"/>
        <v>1.6709999999999996</v>
      </c>
      <c r="I840" s="329" t="s">
        <v>1</v>
      </c>
    </row>
    <row r="841" spans="1:9" s="18" customFormat="1" x14ac:dyDescent="0.2">
      <c r="A841" s="265"/>
      <c r="B841" s="571" t="s">
        <v>339</v>
      </c>
      <c r="C841" s="327">
        <v>1</v>
      </c>
      <c r="D841" s="327">
        <f>420-406.55</f>
        <v>13.449999999999989</v>
      </c>
      <c r="E841" s="327">
        <f>(1.86+2.11)/2</f>
        <v>1.9849999999999999</v>
      </c>
      <c r="F841" s="327">
        <v>0.15</v>
      </c>
      <c r="G841" s="328">
        <f t="shared" si="41"/>
        <v>4.0047374999999965</v>
      </c>
      <c r="H841" s="328">
        <f t="shared" si="42"/>
        <v>4.0047374999999965</v>
      </c>
      <c r="I841" s="329" t="s">
        <v>1</v>
      </c>
    </row>
    <row r="842" spans="1:9" s="18" customFormat="1" x14ac:dyDescent="0.2">
      <c r="A842" s="265"/>
      <c r="B842" s="571" t="s">
        <v>348</v>
      </c>
      <c r="C842" s="327">
        <v>1</v>
      </c>
      <c r="D842" s="327">
        <f>420-406.55</f>
        <v>13.449999999999989</v>
      </c>
      <c r="E842" s="327">
        <v>0.15</v>
      </c>
      <c r="F842" s="327">
        <v>0.4</v>
      </c>
      <c r="G842" s="328">
        <f t="shared" si="41"/>
        <v>0.80699999999999927</v>
      </c>
      <c r="H842" s="328">
        <f t="shared" si="42"/>
        <v>0.80699999999999927</v>
      </c>
      <c r="I842" s="329" t="s">
        <v>1</v>
      </c>
    </row>
    <row r="843" spans="1:9" s="18" customFormat="1" x14ac:dyDescent="0.2">
      <c r="A843" s="265"/>
      <c r="B843" s="571" t="s">
        <v>350</v>
      </c>
      <c r="C843" s="327">
        <v>1</v>
      </c>
      <c r="D843" s="327">
        <f>420-406.55</f>
        <v>13.449999999999989</v>
      </c>
      <c r="E843" s="327">
        <v>0.15</v>
      </c>
      <c r="F843" s="327">
        <v>0.2</v>
      </c>
      <c r="G843" s="328">
        <f t="shared" si="41"/>
        <v>0.40349999999999964</v>
      </c>
      <c r="H843" s="328">
        <f t="shared" si="42"/>
        <v>0.40349999999999964</v>
      </c>
      <c r="I843" s="329" t="s">
        <v>1</v>
      </c>
    </row>
    <row r="844" spans="1:9" s="18" customFormat="1" x14ac:dyDescent="0.2">
      <c r="A844" s="265"/>
      <c r="B844" s="571" t="s">
        <v>343</v>
      </c>
      <c r="C844" s="327">
        <v>1</v>
      </c>
      <c r="D844" s="327">
        <f>450.17-440</f>
        <v>10.170000000000016</v>
      </c>
      <c r="E844" s="327">
        <v>2</v>
      </c>
      <c r="F844" s="327">
        <v>0.15</v>
      </c>
      <c r="G844" s="328">
        <f t="shared" si="41"/>
        <v>3.0510000000000046</v>
      </c>
      <c r="H844" s="328">
        <f t="shared" si="42"/>
        <v>3.0510000000000046</v>
      </c>
      <c r="I844" s="329" t="s">
        <v>1</v>
      </c>
    </row>
    <row r="845" spans="1:9" s="18" customFormat="1" x14ac:dyDescent="0.2">
      <c r="A845" s="265"/>
      <c r="B845" s="571" t="s">
        <v>348</v>
      </c>
      <c r="C845" s="327">
        <v>1</v>
      </c>
      <c r="D845" s="327">
        <f>450.17-440</f>
        <v>10.170000000000016</v>
      </c>
      <c r="E845" s="327">
        <v>0.15</v>
      </c>
      <c r="F845" s="327">
        <v>0.4</v>
      </c>
      <c r="G845" s="328">
        <f t="shared" si="41"/>
        <v>0.61020000000000096</v>
      </c>
      <c r="H845" s="328">
        <f t="shared" si="42"/>
        <v>0.61020000000000096</v>
      </c>
      <c r="I845" s="329" t="s">
        <v>1</v>
      </c>
    </row>
    <row r="846" spans="1:9" s="18" customFormat="1" x14ac:dyDescent="0.2">
      <c r="A846" s="265"/>
      <c r="B846" s="571" t="s">
        <v>350</v>
      </c>
      <c r="C846" s="327">
        <v>1</v>
      </c>
      <c r="D846" s="327">
        <f>450.17-440</f>
        <v>10.170000000000016</v>
      </c>
      <c r="E846" s="327">
        <v>0.15</v>
      </c>
      <c r="F846" s="327">
        <v>0.2</v>
      </c>
      <c r="G846" s="328">
        <f t="shared" si="41"/>
        <v>0.30510000000000048</v>
      </c>
      <c r="H846" s="328">
        <f t="shared" si="42"/>
        <v>0.30510000000000048</v>
      </c>
      <c r="I846" s="329" t="s">
        <v>1</v>
      </c>
    </row>
    <row r="847" spans="1:9" s="18" customFormat="1" x14ac:dyDescent="0.2">
      <c r="A847" s="265"/>
      <c r="B847" s="571" t="s">
        <v>344</v>
      </c>
      <c r="C847" s="327">
        <v>1</v>
      </c>
      <c r="D847" s="327">
        <f>530-450.17</f>
        <v>79.829999999999984</v>
      </c>
      <c r="E847" s="327">
        <f>(2.84+2.65)/2</f>
        <v>2.7450000000000001</v>
      </c>
      <c r="F847" s="327">
        <v>0.15</v>
      </c>
      <c r="G847" s="328">
        <f t="shared" si="41"/>
        <v>32.870002499999991</v>
      </c>
      <c r="H847" s="328">
        <f t="shared" si="42"/>
        <v>32.870002499999991</v>
      </c>
      <c r="I847" s="329" t="s">
        <v>1</v>
      </c>
    </row>
    <row r="848" spans="1:9" s="18" customFormat="1" x14ac:dyDescent="0.2">
      <c r="A848" s="265"/>
      <c r="B848" s="571" t="s">
        <v>348</v>
      </c>
      <c r="C848" s="327">
        <v>1</v>
      </c>
      <c r="D848" s="327">
        <f>530-450.17</f>
        <v>79.829999999999984</v>
      </c>
      <c r="E848" s="327">
        <v>0.15</v>
      </c>
      <c r="F848" s="327">
        <v>0.4</v>
      </c>
      <c r="G848" s="328">
        <f t="shared" si="41"/>
        <v>4.7897999999999987</v>
      </c>
      <c r="H848" s="328">
        <f t="shared" si="42"/>
        <v>4.7897999999999987</v>
      </c>
      <c r="I848" s="329" t="s">
        <v>1</v>
      </c>
    </row>
    <row r="849" spans="1:9" s="18" customFormat="1" x14ac:dyDescent="0.2">
      <c r="A849" s="265"/>
      <c r="B849" s="571" t="s">
        <v>350</v>
      </c>
      <c r="C849" s="327">
        <v>1</v>
      </c>
      <c r="D849" s="327">
        <f>530-450.17</f>
        <v>79.829999999999984</v>
      </c>
      <c r="E849" s="327">
        <v>0.15</v>
      </c>
      <c r="F849" s="327">
        <v>0.2</v>
      </c>
      <c r="G849" s="328">
        <f t="shared" si="41"/>
        <v>2.3948999999999994</v>
      </c>
      <c r="H849" s="328">
        <f t="shared" si="42"/>
        <v>2.3948999999999994</v>
      </c>
      <c r="I849" s="329" t="s">
        <v>1</v>
      </c>
    </row>
    <row r="850" spans="1:9" s="18" customFormat="1" x14ac:dyDescent="0.2">
      <c r="A850" s="265"/>
      <c r="B850" s="571" t="s">
        <v>345</v>
      </c>
      <c r="C850" s="327">
        <v>1</v>
      </c>
      <c r="D850" s="327">
        <v>30</v>
      </c>
      <c r="E850" s="327">
        <f>(2.69+2.58)/2</f>
        <v>2.6349999999999998</v>
      </c>
      <c r="F850" s="327">
        <v>0.15</v>
      </c>
      <c r="G850" s="328">
        <f t="shared" si="41"/>
        <v>11.857499999999998</v>
      </c>
      <c r="H850" s="328">
        <f t="shared" si="42"/>
        <v>11.857499999999998</v>
      </c>
      <c r="I850" s="329" t="s">
        <v>1</v>
      </c>
    </row>
    <row r="851" spans="1:9" s="18" customFormat="1" x14ac:dyDescent="0.2">
      <c r="A851" s="265"/>
      <c r="B851" s="571" t="s">
        <v>348</v>
      </c>
      <c r="C851" s="327">
        <v>1</v>
      </c>
      <c r="D851" s="327">
        <v>30</v>
      </c>
      <c r="E851" s="327">
        <v>0.15</v>
      </c>
      <c r="F851" s="327">
        <v>0.4</v>
      </c>
      <c r="G851" s="328">
        <f t="shared" si="41"/>
        <v>1.7999999999999998</v>
      </c>
      <c r="H851" s="328">
        <f t="shared" si="42"/>
        <v>1.7999999999999998</v>
      </c>
      <c r="I851" s="329" t="s">
        <v>1</v>
      </c>
    </row>
    <row r="852" spans="1:9" s="18" customFormat="1" x14ac:dyDescent="0.2">
      <c r="A852" s="265"/>
      <c r="B852" s="571" t="s">
        <v>350</v>
      </c>
      <c r="C852" s="327">
        <v>1</v>
      </c>
      <c r="D852" s="327">
        <v>30</v>
      </c>
      <c r="E852" s="327">
        <v>0.15</v>
      </c>
      <c r="F852" s="327">
        <v>0.2</v>
      </c>
      <c r="G852" s="328">
        <f t="shared" si="41"/>
        <v>0.89999999999999991</v>
      </c>
      <c r="H852" s="328">
        <f t="shared" si="42"/>
        <v>0.89999999999999991</v>
      </c>
      <c r="I852" s="329" t="s">
        <v>1</v>
      </c>
    </row>
    <row r="853" spans="1:9" s="18" customFormat="1" x14ac:dyDescent="0.2">
      <c r="A853" s="265"/>
      <c r="B853" s="571" t="s">
        <v>346</v>
      </c>
      <c r="C853" s="327">
        <v>1</v>
      </c>
      <c r="D853" s="327">
        <f>606.18-560</f>
        <v>46.17999999999995</v>
      </c>
      <c r="E853" s="327">
        <f>3.18-0.2</f>
        <v>2.98</v>
      </c>
      <c r="F853" s="327">
        <v>0.15</v>
      </c>
      <c r="G853" s="328">
        <f t="shared" si="41"/>
        <v>20.642459999999978</v>
      </c>
      <c r="H853" s="328">
        <f t="shared" si="42"/>
        <v>20.642459999999978</v>
      </c>
      <c r="I853" s="329" t="s">
        <v>1</v>
      </c>
    </row>
    <row r="854" spans="1:9" s="18" customFormat="1" x14ac:dyDescent="0.2">
      <c r="A854" s="265"/>
      <c r="B854" s="571" t="s">
        <v>348</v>
      </c>
      <c r="C854" s="327">
        <v>1</v>
      </c>
      <c r="D854" s="327">
        <f>606.18-560</f>
        <v>46.17999999999995</v>
      </c>
      <c r="E854" s="327">
        <v>0.15</v>
      </c>
      <c r="F854" s="327">
        <v>0.4</v>
      </c>
      <c r="G854" s="328">
        <f t="shared" si="41"/>
        <v>2.7707999999999968</v>
      </c>
      <c r="H854" s="328">
        <f t="shared" si="42"/>
        <v>2.7707999999999968</v>
      </c>
      <c r="I854" s="329" t="s">
        <v>1</v>
      </c>
    </row>
    <row r="855" spans="1:9" s="18" customFormat="1" x14ac:dyDescent="0.2">
      <c r="A855" s="265"/>
      <c r="B855" s="571" t="s">
        <v>350</v>
      </c>
      <c r="C855" s="327">
        <v>1</v>
      </c>
      <c r="D855" s="327">
        <f>606.18-560</f>
        <v>46.17999999999995</v>
      </c>
      <c r="E855" s="327">
        <v>0.15</v>
      </c>
      <c r="F855" s="327">
        <v>0.2</v>
      </c>
      <c r="G855" s="328">
        <f t="shared" si="41"/>
        <v>1.3853999999999984</v>
      </c>
      <c r="H855" s="328">
        <f t="shared" si="42"/>
        <v>1.3853999999999984</v>
      </c>
      <c r="I855" s="329" t="s">
        <v>1</v>
      </c>
    </row>
    <row r="856" spans="1:9" s="18" customFormat="1" x14ac:dyDescent="0.2">
      <c r="A856" s="265"/>
      <c r="B856" s="571" t="s">
        <v>347</v>
      </c>
      <c r="C856" s="327">
        <v>1</v>
      </c>
      <c r="D856" s="327">
        <f>698.84-606.18</f>
        <v>92.660000000000082</v>
      </c>
      <c r="E856" s="327">
        <f>(2.5+2.54)/2</f>
        <v>2.52</v>
      </c>
      <c r="F856" s="327">
        <v>0.15</v>
      </c>
      <c r="G856" s="328">
        <f t="shared" si="41"/>
        <v>35.02548000000003</v>
      </c>
      <c r="H856" s="328">
        <f t="shared" si="42"/>
        <v>35.02548000000003</v>
      </c>
      <c r="I856" s="329" t="s">
        <v>1</v>
      </c>
    </row>
    <row r="857" spans="1:9" s="18" customFormat="1" x14ac:dyDescent="0.2">
      <c r="A857" s="265"/>
      <c r="B857" s="571" t="s">
        <v>348</v>
      </c>
      <c r="C857" s="327">
        <v>1</v>
      </c>
      <c r="D857" s="327">
        <f>698.84-606.18</f>
        <v>92.660000000000082</v>
      </c>
      <c r="E857" s="327">
        <v>0.15</v>
      </c>
      <c r="F857" s="327">
        <v>0.4</v>
      </c>
      <c r="G857" s="328">
        <f t="shared" si="41"/>
        <v>5.559600000000005</v>
      </c>
      <c r="H857" s="328">
        <f t="shared" si="42"/>
        <v>5.559600000000005</v>
      </c>
      <c r="I857" s="329" t="s">
        <v>1</v>
      </c>
    </row>
    <row r="858" spans="1:9" s="18" customFormat="1" x14ac:dyDescent="0.2">
      <c r="A858" s="265"/>
      <c r="B858" s="571" t="s">
        <v>350</v>
      </c>
      <c r="C858" s="327">
        <v>1</v>
      </c>
      <c r="D858" s="327">
        <f>698.84-606.18</f>
        <v>92.660000000000082</v>
      </c>
      <c r="E858" s="327">
        <v>0.15</v>
      </c>
      <c r="F858" s="327">
        <v>0.2</v>
      </c>
      <c r="G858" s="328">
        <f t="shared" si="41"/>
        <v>2.7798000000000025</v>
      </c>
      <c r="H858" s="328">
        <f t="shared" si="42"/>
        <v>2.7798000000000025</v>
      </c>
      <c r="I858" s="329" t="s">
        <v>1</v>
      </c>
    </row>
    <row r="859" spans="1:9" s="18" customFormat="1" x14ac:dyDescent="0.2">
      <c r="A859" s="265"/>
      <c r="B859" s="571" t="s">
        <v>352</v>
      </c>
      <c r="C859" s="327">
        <v>1</v>
      </c>
      <c r="D859" s="327">
        <v>60</v>
      </c>
      <c r="E859" s="327">
        <v>2.34</v>
      </c>
      <c r="F859" s="327">
        <v>0.15</v>
      </c>
      <c r="G859" s="328">
        <f t="shared" si="41"/>
        <v>21.06</v>
      </c>
      <c r="H859" s="328">
        <f t="shared" si="42"/>
        <v>21.06</v>
      </c>
      <c r="I859" s="329" t="s">
        <v>1</v>
      </c>
    </row>
    <row r="860" spans="1:9" s="18" customFormat="1" x14ac:dyDescent="0.2">
      <c r="A860" s="265"/>
      <c r="B860" s="571" t="s">
        <v>348</v>
      </c>
      <c r="C860" s="327">
        <v>1</v>
      </c>
      <c r="D860" s="327">
        <v>60</v>
      </c>
      <c r="E860" s="327">
        <v>0.15</v>
      </c>
      <c r="F860" s="327">
        <v>0.4</v>
      </c>
      <c r="G860" s="328">
        <f t="shared" si="41"/>
        <v>3.5999999999999996</v>
      </c>
      <c r="H860" s="328">
        <f t="shared" si="42"/>
        <v>3.5999999999999996</v>
      </c>
      <c r="I860" s="329" t="s">
        <v>1</v>
      </c>
    </row>
    <row r="861" spans="1:9" s="18" customFormat="1" x14ac:dyDescent="0.2">
      <c r="A861" s="265"/>
      <c r="B861" s="571" t="s">
        <v>350</v>
      </c>
      <c r="C861" s="327">
        <v>1</v>
      </c>
      <c r="D861" s="327">
        <v>60</v>
      </c>
      <c r="E861" s="327">
        <v>0.15</v>
      </c>
      <c r="F861" s="327">
        <v>0.2</v>
      </c>
      <c r="G861" s="328">
        <f t="shared" si="41"/>
        <v>1.7999999999999998</v>
      </c>
      <c r="H861" s="328">
        <f t="shared" si="42"/>
        <v>1.7999999999999998</v>
      </c>
      <c r="I861" s="329" t="s">
        <v>1</v>
      </c>
    </row>
    <row r="862" spans="1:9" s="18" customFormat="1" x14ac:dyDescent="0.2">
      <c r="A862" s="265"/>
      <c r="B862" s="571" t="s">
        <v>353</v>
      </c>
      <c r="C862" s="327">
        <v>1</v>
      </c>
      <c r="D862" s="327">
        <v>40</v>
      </c>
      <c r="E862" s="327">
        <f>(2.11+2.41)/2</f>
        <v>2.2599999999999998</v>
      </c>
      <c r="F862" s="327">
        <v>0.15</v>
      </c>
      <c r="G862" s="328">
        <f t="shared" si="41"/>
        <v>13.559999999999999</v>
      </c>
      <c r="H862" s="328">
        <f t="shared" si="42"/>
        <v>13.559999999999999</v>
      </c>
      <c r="I862" s="329" t="s">
        <v>1</v>
      </c>
    </row>
    <row r="863" spans="1:9" s="18" customFormat="1" x14ac:dyDescent="0.2">
      <c r="A863" s="265"/>
      <c r="B863" s="571" t="s">
        <v>348</v>
      </c>
      <c r="C863" s="327">
        <v>1</v>
      </c>
      <c r="D863" s="327">
        <v>40</v>
      </c>
      <c r="E863" s="327">
        <v>0.15</v>
      </c>
      <c r="F863" s="327">
        <v>0.4</v>
      </c>
      <c r="G863" s="328">
        <f t="shared" si="41"/>
        <v>2.4</v>
      </c>
      <c r="H863" s="328">
        <f t="shared" si="42"/>
        <v>2.4</v>
      </c>
      <c r="I863" s="329" t="s">
        <v>1</v>
      </c>
    </row>
    <row r="864" spans="1:9" s="18" customFormat="1" x14ac:dyDescent="0.2">
      <c r="A864" s="265"/>
      <c r="B864" s="571" t="s">
        <v>350</v>
      </c>
      <c r="C864" s="327">
        <v>1</v>
      </c>
      <c r="D864" s="327">
        <v>40</v>
      </c>
      <c r="E864" s="327">
        <v>0.15</v>
      </c>
      <c r="F864" s="327">
        <v>0.2</v>
      </c>
      <c r="G864" s="328">
        <f t="shared" si="41"/>
        <v>1.2</v>
      </c>
      <c r="H864" s="328">
        <f t="shared" si="42"/>
        <v>1.2</v>
      </c>
      <c r="I864" s="329" t="s">
        <v>1</v>
      </c>
    </row>
    <row r="865" spans="1:13" s="18" customFormat="1" x14ac:dyDescent="0.2">
      <c r="A865" s="265"/>
      <c r="B865" s="571" t="s">
        <v>354</v>
      </c>
      <c r="C865" s="327">
        <v>1</v>
      </c>
      <c r="D865" s="327">
        <v>18.64</v>
      </c>
      <c r="E865" s="327">
        <v>1.96</v>
      </c>
      <c r="F865" s="327">
        <v>0.15</v>
      </c>
      <c r="G865" s="328">
        <f t="shared" si="41"/>
        <v>5.4801599999999997</v>
      </c>
      <c r="H865" s="328">
        <f t="shared" si="42"/>
        <v>5.4801599999999997</v>
      </c>
      <c r="I865" s="329" t="s">
        <v>1</v>
      </c>
    </row>
    <row r="866" spans="1:13" s="18" customFormat="1" x14ac:dyDescent="0.2">
      <c r="A866" s="265"/>
      <c r="B866" s="571" t="s">
        <v>348</v>
      </c>
      <c r="C866" s="327">
        <v>1</v>
      </c>
      <c r="D866" s="327">
        <v>40</v>
      </c>
      <c r="E866" s="327">
        <v>0.15</v>
      </c>
      <c r="F866" s="327">
        <v>0.4</v>
      </c>
      <c r="G866" s="328">
        <f t="shared" si="41"/>
        <v>2.4</v>
      </c>
      <c r="H866" s="328">
        <f t="shared" si="42"/>
        <v>2.4</v>
      </c>
      <c r="I866" s="329" t="s">
        <v>1</v>
      </c>
    </row>
    <row r="867" spans="1:13" s="18" customFormat="1" x14ac:dyDescent="0.2">
      <c r="A867" s="265"/>
      <c r="B867" s="571" t="s">
        <v>350</v>
      </c>
      <c r="C867" s="327">
        <v>1</v>
      </c>
      <c r="D867" s="327">
        <v>40</v>
      </c>
      <c r="E867" s="327">
        <v>0.15</v>
      </c>
      <c r="F867" s="327">
        <v>0.2</v>
      </c>
      <c r="G867" s="328">
        <f t="shared" si="41"/>
        <v>1.2</v>
      </c>
      <c r="H867" s="328">
        <f t="shared" si="42"/>
        <v>1.2</v>
      </c>
      <c r="I867" s="329" t="s">
        <v>1</v>
      </c>
    </row>
    <row r="868" spans="1:13" s="18" customFormat="1" x14ac:dyDescent="0.2">
      <c r="A868" s="265"/>
      <c r="B868" s="571" t="s">
        <v>349</v>
      </c>
      <c r="C868" s="327">
        <v>1</v>
      </c>
      <c r="D868" s="327">
        <v>698.84</v>
      </c>
      <c r="E868" s="327">
        <v>0.8</v>
      </c>
      <c r="F868" s="327">
        <v>0.8</v>
      </c>
      <c r="G868" s="328">
        <f t="shared" si="41"/>
        <v>447.25760000000008</v>
      </c>
      <c r="H868" s="328">
        <f t="shared" si="42"/>
        <v>447.25760000000008</v>
      </c>
      <c r="I868" s="329" t="s">
        <v>1</v>
      </c>
    </row>
    <row r="869" spans="1:13" s="18" customFormat="1" x14ac:dyDescent="0.2">
      <c r="A869" s="265"/>
      <c r="B869" s="571" t="s">
        <v>349</v>
      </c>
      <c r="C869" s="327">
        <v>1</v>
      </c>
      <c r="D869" s="327">
        <v>118.64</v>
      </c>
      <c r="E869" s="327">
        <v>0.8</v>
      </c>
      <c r="F869" s="327">
        <v>0.8</v>
      </c>
      <c r="G869" s="328">
        <f t="shared" si="41"/>
        <v>75.929600000000022</v>
      </c>
      <c r="H869" s="328">
        <f t="shared" si="42"/>
        <v>75.929600000000022</v>
      </c>
      <c r="I869" s="586" t="s">
        <v>1</v>
      </c>
      <c r="M869" s="63"/>
    </row>
    <row r="870" spans="1:13" s="18" customFormat="1" ht="13.5" thickBot="1" x14ac:dyDescent="0.25">
      <c r="A870" s="296"/>
      <c r="B870" s="584"/>
      <c r="C870" s="585"/>
      <c r="D870" s="585"/>
      <c r="E870" s="585"/>
      <c r="F870" s="585"/>
      <c r="G870" s="585"/>
      <c r="H870" s="585"/>
      <c r="I870" s="329"/>
      <c r="M870" s="583"/>
    </row>
    <row r="871" spans="1:13" s="12" customFormat="1" ht="12.75" customHeight="1" thickBot="1" x14ac:dyDescent="0.25">
      <c r="A871" s="408" t="s">
        <v>92</v>
      </c>
      <c r="B871" s="520" t="s">
        <v>383</v>
      </c>
      <c r="C871" s="521"/>
      <c r="D871" s="521"/>
      <c r="E871" s="521"/>
      <c r="F871" s="521"/>
      <c r="G871" s="522"/>
      <c r="H871" s="410">
        <f>SUM(H873:H876)</f>
        <v>54.203440000000008</v>
      </c>
      <c r="I871" s="444" t="s">
        <v>1</v>
      </c>
    </row>
    <row r="872" spans="1:13" s="18" customFormat="1" x14ac:dyDescent="0.2">
      <c r="A872" s="265"/>
      <c r="B872" s="252"/>
      <c r="C872" s="327"/>
      <c r="D872" s="327"/>
      <c r="E872" s="327"/>
      <c r="F872" s="371"/>
      <c r="G872" s="328"/>
      <c r="H872" s="328"/>
      <c r="I872" s="329"/>
    </row>
    <row r="873" spans="1:13" s="18" customFormat="1" x14ac:dyDescent="0.2">
      <c r="A873" s="265"/>
      <c r="B873" s="571" t="s">
        <v>384</v>
      </c>
      <c r="C873" s="327">
        <v>1</v>
      </c>
      <c r="D873" s="711">
        <v>449.33</v>
      </c>
      <c r="E873" s="712"/>
      <c r="F873" s="327">
        <v>9.8000000000000004E-2</v>
      </c>
      <c r="G873" s="328">
        <f>D873*F873</f>
        <v>44.03434</v>
      </c>
      <c r="H873" s="328">
        <f>G873*C873</f>
        <v>44.03434</v>
      </c>
      <c r="I873" s="329" t="s">
        <v>1</v>
      </c>
    </row>
    <row r="874" spans="1:13" s="18" customFormat="1" x14ac:dyDescent="0.2">
      <c r="A874" s="265"/>
      <c r="B874" s="571" t="s">
        <v>385</v>
      </c>
      <c r="C874" s="327">
        <v>1</v>
      </c>
      <c r="D874" s="711">
        <v>18.66</v>
      </c>
      <c r="E874" s="712"/>
      <c r="F874" s="327">
        <v>0.28999999999999998</v>
      </c>
      <c r="G874" s="328">
        <f t="shared" ref="G874:G876" si="43">D874*F874</f>
        <v>5.4113999999999995</v>
      </c>
      <c r="H874" s="328">
        <f t="shared" ref="H874:H876" si="44">G874*C874</f>
        <v>5.4113999999999995</v>
      </c>
      <c r="I874" s="329" t="s">
        <v>1</v>
      </c>
    </row>
    <row r="875" spans="1:13" s="18" customFormat="1" x14ac:dyDescent="0.2">
      <c r="A875" s="265"/>
      <c r="B875" s="571" t="s">
        <v>386</v>
      </c>
      <c r="C875" s="327">
        <v>1</v>
      </c>
      <c r="D875" s="711">
        <v>17.940000000000001</v>
      </c>
      <c r="E875" s="712"/>
      <c r="F875" s="327">
        <v>0.16</v>
      </c>
      <c r="G875" s="328">
        <f t="shared" si="43"/>
        <v>2.8704000000000001</v>
      </c>
      <c r="H875" s="328">
        <f t="shared" si="44"/>
        <v>2.8704000000000001</v>
      </c>
      <c r="I875" s="329" t="s">
        <v>1</v>
      </c>
    </row>
    <row r="876" spans="1:13" s="18" customFormat="1" ht="13.5" thickBot="1" x14ac:dyDescent="0.25">
      <c r="A876" s="265"/>
      <c r="B876" s="252"/>
      <c r="C876" s="327">
        <v>1</v>
      </c>
      <c r="D876" s="711">
        <v>6.99</v>
      </c>
      <c r="E876" s="712"/>
      <c r="F876" s="327">
        <v>0.27</v>
      </c>
      <c r="G876" s="328">
        <f t="shared" si="43"/>
        <v>1.8873000000000002</v>
      </c>
      <c r="H876" s="328">
        <f t="shared" si="44"/>
        <v>1.8873000000000002</v>
      </c>
      <c r="I876" s="372" t="s">
        <v>1</v>
      </c>
    </row>
    <row r="877" spans="1:13" s="12" customFormat="1" ht="12.75" customHeight="1" thickBot="1" x14ac:dyDescent="0.25">
      <c r="A877" s="408" t="s">
        <v>93</v>
      </c>
      <c r="B877" s="520" t="s">
        <v>222</v>
      </c>
      <c r="C877" s="521"/>
      <c r="D877" s="521"/>
      <c r="E877" s="521"/>
      <c r="F877" s="521"/>
      <c r="G877" s="522"/>
      <c r="H877" s="410">
        <f>SUM(H879:H880)</f>
        <v>26</v>
      </c>
      <c r="I877" s="444" t="s">
        <v>8</v>
      </c>
    </row>
    <row r="878" spans="1:13" s="18" customFormat="1" x14ac:dyDescent="0.2">
      <c r="A878" s="265"/>
      <c r="B878" s="581" t="s">
        <v>224</v>
      </c>
      <c r="C878" s="365"/>
      <c r="D878" s="365"/>
      <c r="E878" s="365"/>
      <c r="F878" s="365"/>
      <c r="G878" s="366"/>
      <c r="H878" s="366"/>
      <c r="I878" s="367"/>
    </row>
    <row r="879" spans="1:13" s="18" customFormat="1" x14ac:dyDescent="0.2">
      <c r="A879" s="265"/>
      <c r="B879" s="571" t="s">
        <v>223</v>
      </c>
      <c r="C879" s="327">
        <v>1</v>
      </c>
      <c r="D879" s="365"/>
      <c r="E879" s="327"/>
      <c r="F879" s="327"/>
      <c r="G879" s="328">
        <v>12</v>
      </c>
      <c r="H879" s="328">
        <f>G879*C879</f>
        <v>12</v>
      </c>
      <c r="I879" s="329" t="s">
        <v>27</v>
      </c>
    </row>
    <row r="880" spans="1:13" s="18" customFormat="1" x14ac:dyDescent="0.2">
      <c r="A880" s="265"/>
      <c r="B880" s="571" t="s">
        <v>225</v>
      </c>
      <c r="C880" s="327">
        <v>1</v>
      </c>
      <c r="D880" s="365"/>
      <c r="E880" s="327"/>
      <c r="F880" s="327"/>
      <c r="G880" s="328">
        <v>14</v>
      </c>
      <c r="H880" s="328">
        <f>G880*C880</f>
        <v>14</v>
      </c>
      <c r="I880" s="329" t="s">
        <v>27</v>
      </c>
    </row>
    <row r="881" spans="1:9" s="11" customFormat="1" ht="13.5" thickBot="1" x14ac:dyDescent="0.25">
      <c r="A881" s="373"/>
      <c r="B881" s="374"/>
      <c r="C881" s="375"/>
      <c r="D881" s="315"/>
      <c r="E881" s="315"/>
      <c r="F881" s="376"/>
      <c r="G881" s="377"/>
      <c r="H881" s="378"/>
      <c r="I881" s="379"/>
    </row>
    <row r="882" spans="1:9" s="12" customFormat="1" ht="12.75" customHeight="1" thickBot="1" x14ac:dyDescent="0.25">
      <c r="A882" s="408" t="s">
        <v>94</v>
      </c>
      <c r="B882" s="520" t="s">
        <v>29</v>
      </c>
      <c r="C882" s="521"/>
      <c r="D882" s="521"/>
      <c r="E882" s="521"/>
      <c r="F882" s="521"/>
      <c r="G882" s="522"/>
      <c r="H882" s="410">
        <f>SUM(H884:H907)</f>
        <v>2438.5434999999998</v>
      </c>
      <c r="I882" s="444" t="s">
        <v>2</v>
      </c>
    </row>
    <row r="883" spans="1:9" s="18" customFormat="1" x14ac:dyDescent="0.2">
      <c r="A883" s="380"/>
      <c r="B883" s="368"/>
      <c r="C883" s="368"/>
      <c r="D883" s="368"/>
      <c r="E883" s="368"/>
      <c r="F883" s="368"/>
      <c r="G883" s="381"/>
      <c r="H883" s="369"/>
      <c r="I883" s="370"/>
    </row>
    <row r="884" spans="1:9" s="18" customFormat="1" x14ac:dyDescent="0.2">
      <c r="A884" s="265"/>
      <c r="B884" s="581" t="s">
        <v>201</v>
      </c>
      <c r="C884" s="365"/>
      <c r="D884" s="365"/>
      <c r="E884" s="365"/>
      <c r="F884" s="365"/>
      <c r="G884" s="366"/>
      <c r="H884" s="366"/>
      <c r="I884" s="367"/>
    </row>
    <row r="885" spans="1:9" s="18" customFormat="1" x14ac:dyDescent="0.2">
      <c r="A885" s="265"/>
      <c r="B885" s="571" t="s">
        <v>48</v>
      </c>
      <c r="C885" s="327">
        <v>2</v>
      </c>
      <c r="D885" s="327">
        <v>23.5</v>
      </c>
      <c r="E885" s="327">
        <v>5.43</v>
      </c>
      <c r="F885" s="327"/>
      <c r="G885" s="328">
        <f>D885*E885</f>
        <v>127.60499999999999</v>
      </c>
      <c r="H885" s="328">
        <f>G885*C885</f>
        <v>255.20999999999998</v>
      </c>
      <c r="I885" s="329" t="s">
        <v>2</v>
      </c>
    </row>
    <row r="886" spans="1:9" s="18" customFormat="1" x14ac:dyDescent="0.2">
      <c r="A886" s="265"/>
      <c r="B886" s="571"/>
      <c r="C886" s="327">
        <v>1</v>
      </c>
      <c r="D886" s="327">
        <v>4.55</v>
      </c>
      <c r="E886" s="327">
        <v>6.04</v>
      </c>
      <c r="F886" s="327"/>
      <c r="G886" s="328">
        <f t="shared" ref="G886:G907" si="45">D886*E886</f>
        <v>27.481999999999999</v>
      </c>
      <c r="H886" s="328">
        <f t="shared" ref="H886:H907" si="46">G886*C886</f>
        <v>27.481999999999999</v>
      </c>
      <c r="I886" s="329" t="s">
        <v>2</v>
      </c>
    </row>
    <row r="887" spans="1:9" s="18" customFormat="1" x14ac:dyDescent="0.2">
      <c r="A887" s="265"/>
      <c r="B887" s="571"/>
      <c r="C887" s="327">
        <v>1</v>
      </c>
      <c r="D887" s="327">
        <v>4.55</v>
      </c>
      <c r="E887" s="327">
        <v>2.2000000000000002</v>
      </c>
      <c r="F887" s="327"/>
      <c r="G887" s="328">
        <f t="shared" si="45"/>
        <v>10.01</v>
      </c>
      <c r="H887" s="328">
        <f t="shared" si="46"/>
        <v>10.01</v>
      </c>
      <c r="I887" s="329" t="s">
        <v>2</v>
      </c>
    </row>
    <row r="888" spans="1:9" s="18" customFormat="1" x14ac:dyDescent="0.2">
      <c r="A888" s="265"/>
      <c r="B888" s="581" t="s">
        <v>175</v>
      </c>
      <c r="C888" s="365"/>
      <c r="D888" s="365"/>
      <c r="E888" s="365"/>
      <c r="F888" s="365"/>
      <c r="G888" s="328"/>
      <c r="H888" s="328"/>
      <c r="I888" s="367"/>
    </row>
    <row r="889" spans="1:9" s="18" customFormat="1" x14ac:dyDescent="0.2">
      <c r="A889" s="265"/>
      <c r="B889" s="571" t="s">
        <v>48</v>
      </c>
      <c r="C889" s="327">
        <v>1</v>
      </c>
      <c r="D889" s="327">
        <v>21.45</v>
      </c>
      <c r="E889" s="327">
        <v>4.32</v>
      </c>
      <c r="F889" s="327"/>
      <c r="G889" s="328">
        <f t="shared" si="45"/>
        <v>92.664000000000001</v>
      </c>
      <c r="H889" s="328">
        <f t="shared" si="46"/>
        <v>92.664000000000001</v>
      </c>
      <c r="I889" s="329" t="s">
        <v>2</v>
      </c>
    </row>
    <row r="890" spans="1:9" s="18" customFormat="1" x14ac:dyDescent="0.2">
      <c r="A890" s="265"/>
      <c r="B890" s="571"/>
      <c r="C890" s="327">
        <v>1</v>
      </c>
      <c r="D890" s="327">
        <v>21.45</v>
      </c>
      <c r="E890" s="327">
        <v>4.33</v>
      </c>
      <c r="F890" s="327"/>
      <c r="G890" s="328">
        <f t="shared" si="45"/>
        <v>92.878500000000003</v>
      </c>
      <c r="H890" s="328">
        <f t="shared" si="46"/>
        <v>92.878500000000003</v>
      </c>
      <c r="I890" s="329" t="s">
        <v>2</v>
      </c>
    </row>
    <row r="891" spans="1:9" s="18" customFormat="1" x14ac:dyDescent="0.2">
      <c r="A891" s="265"/>
      <c r="B891" s="581" t="s">
        <v>177</v>
      </c>
      <c r="C891" s="365"/>
      <c r="D891" s="365"/>
      <c r="E891" s="365"/>
      <c r="F891" s="365"/>
      <c r="G891" s="328"/>
      <c r="H891" s="328"/>
      <c r="I891" s="367"/>
    </row>
    <row r="892" spans="1:9" s="18" customFormat="1" x14ac:dyDescent="0.2">
      <c r="A892" s="265"/>
      <c r="B892" s="571" t="s">
        <v>48</v>
      </c>
      <c r="C892" s="327">
        <v>2</v>
      </c>
      <c r="D892" s="327">
        <v>8.68</v>
      </c>
      <c r="E892" s="327">
        <v>3.63</v>
      </c>
      <c r="F892" s="327"/>
      <c r="G892" s="328">
        <f t="shared" si="45"/>
        <v>31.508399999999998</v>
      </c>
      <c r="H892" s="328">
        <f t="shared" si="46"/>
        <v>63.016799999999996</v>
      </c>
      <c r="I892" s="329" t="s">
        <v>2</v>
      </c>
    </row>
    <row r="893" spans="1:9" s="18" customFormat="1" x14ac:dyDescent="0.2">
      <c r="A893" s="265"/>
      <c r="B893" s="581" t="s">
        <v>178</v>
      </c>
      <c r="C893" s="365"/>
      <c r="D893" s="365"/>
      <c r="E893" s="365"/>
      <c r="F893" s="365"/>
      <c r="G893" s="328"/>
      <c r="H893" s="328"/>
      <c r="I893" s="367"/>
    </row>
    <row r="894" spans="1:9" s="18" customFormat="1" x14ac:dyDescent="0.2">
      <c r="A894" s="265"/>
      <c r="B894" s="571" t="s">
        <v>48</v>
      </c>
      <c r="C894" s="327">
        <v>1</v>
      </c>
      <c r="D894" s="327">
        <v>8.31</v>
      </c>
      <c r="E894" s="327">
        <v>6.85</v>
      </c>
      <c r="F894" s="327"/>
      <c r="G894" s="328">
        <f t="shared" si="45"/>
        <v>56.923499999999997</v>
      </c>
      <c r="H894" s="328">
        <f t="shared" si="46"/>
        <v>56.923499999999997</v>
      </c>
      <c r="I894" s="329" t="s">
        <v>2</v>
      </c>
    </row>
    <row r="895" spans="1:9" s="18" customFormat="1" x14ac:dyDescent="0.2">
      <c r="A895" s="265"/>
      <c r="B895" s="587"/>
      <c r="C895" s="365"/>
      <c r="D895" s="365"/>
      <c r="E895" s="365"/>
      <c r="F895" s="382"/>
      <c r="G895" s="328"/>
      <c r="H895" s="328"/>
      <c r="I895" s="367"/>
    </row>
    <row r="896" spans="1:9" s="18" customFormat="1" x14ac:dyDescent="0.2">
      <c r="A896" s="265"/>
      <c r="B896" s="581" t="s">
        <v>180</v>
      </c>
      <c r="C896" s="365"/>
      <c r="D896" s="365"/>
      <c r="E896" s="365"/>
      <c r="F896" s="365"/>
      <c r="G896" s="328"/>
      <c r="H896" s="328"/>
      <c r="I896" s="367"/>
    </row>
    <row r="897" spans="1:9" s="18" customFormat="1" x14ac:dyDescent="0.2">
      <c r="A897" s="265"/>
      <c r="B897" s="571" t="s">
        <v>48</v>
      </c>
      <c r="C897" s="327">
        <v>2</v>
      </c>
      <c r="D897" s="327">
        <v>25.21</v>
      </c>
      <c r="E897" s="327">
        <v>7.02</v>
      </c>
      <c r="F897" s="327"/>
      <c r="G897" s="328">
        <f t="shared" si="45"/>
        <v>176.9742</v>
      </c>
      <c r="H897" s="328">
        <f t="shared" si="46"/>
        <v>353.94839999999999</v>
      </c>
      <c r="I897" s="329" t="s">
        <v>2</v>
      </c>
    </row>
    <row r="898" spans="1:9" s="18" customFormat="1" x14ac:dyDescent="0.2">
      <c r="A898" s="265"/>
      <c r="B898" s="581" t="s">
        <v>181</v>
      </c>
      <c r="C898" s="365"/>
      <c r="D898" s="365"/>
      <c r="E898" s="365"/>
      <c r="F898" s="365"/>
      <c r="G898" s="328"/>
      <c r="H898" s="328"/>
      <c r="I898" s="367"/>
    </row>
    <row r="899" spans="1:9" s="18" customFormat="1" x14ac:dyDescent="0.2">
      <c r="A899" s="265"/>
      <c r="B899" s="571" t="s">
        <v>48</v>
      </c>
      <c r="C899" s="327">
        <v>1</v>
      </c>
      <c r="D899" s="327">
        <v>37.4</v>
      </c>
      <c r="E899" s="327">
        <v>7.34</v>
      </c>
      <c r="F899" s="327"/>
      <c r="G899" s="328">
        <f t="shared" si="45"/>
        <v>274.51599999999996</v>
      </c>
      <c r="H899" s="328">
        <f t="shared" si="46"/>
        <v>274.51599999999996</v>
      </c>
      <c r="I899" s="329" t="s">
        <v>2</v>
      </c>
    </row>
    <row r="900" spans="1:9" s="18" customFormat="1" x14ac:dyDescent="0.2">
      <c r="A900" s="265"/>
      <c r="B900" s="581" t="s">
        <v>182</v>
      </c>
      <c r="C900" s="365"/>
      <c r="D900" s="365"/>
      <c r="E900" s="365"/>
      <c r="F900" s="365"/>
      <c r="G900" s="328"/>
      <c r="H900" s="328"/>
      <c r="I900" s="367"/>
    </row>
    <row r="901" spans="1:9" s="18" customFormat="1" x14ac:dyDescent="0.2">
      <c r="A901" s="265"/>
      <c r="B901" s="571" t="s">
        <v>48</v>
      </c>
      <c r="C901" s="327">
        <v>1</v>
      </c>
      <c r="D901" s="327">
        <v>53.73</v>
      </c>
      <c r="E901" s="327">
        <v>6.97</v>
      </c>
      <c r="F901" s="327"/>
      <c r="G901" s="328">
        <f t="shared" si="45"/>
        <v>374.49809999999997</v>
      </c>
      <c r="H901" s="328">
        <f t="shared" si="46"/>
        <v>374.49809999999997</v>
      </c>
      <c r="I901" s="329" t="s">
        <v>2</v>
      </c>
    </row>
    <row r="902" spans="1:9" s="18" customFormat="1" x14ac:dyDescent="0.2">
      <c r="A902" s="265"/>
      <c r="B902" s="581" t="s">
        <v>183</v>
      </c>
      <c r="C902" s="365"/>
      <c r="D902" s="365"/>
      <c r="E902" s="365"/>
      <c r="F902" s="365"/>
      <c r="G902" s="328"/>
      <c r="H902" s="328"/>
      <c r="I902" s="367"/>
    </row>
    <row r="903" spans="1:9" s="18" customFormat="1" x14ac:dyDescent="0.2">
      <c r="A903" s="265"/>
      <c r="B903" s="571" t="s">
        <v>48</v>
      </c>
      <c r="C903" s="327">
        <v>1</v>
      </c>
      <c r="D903" s="327">
        <v>16.98</v>
      </c>
      <c r="E903" s="327">
        <v>8.4</v>
      </c>
      <c r="F903" s="327"/>
      <c r="G903" s="328">
        <f t="shared" si="45"/>
        <v>142.63200000000001</v>
      </c>
      <c r="H903" s="328">
        <f t="shared" si="46"/>
        <v>142.63200000000001</v>
      </c>
      <c r="I903" s="329" t="s">
        <v>2</v>
      </c>
    </row>
    <row r="904" spans="1:9" s="18" customFormat="1" x14ac:dyDescent="0.2">
      <c r="A904" s="265"/>
      <c r="B904" s="581" t="s">
        <v>186</v>
      </c>
      <c r="C904" s="365"/>
      <c r="D904" s="365"/>
      <c r="E904" s="365"/>
      <c r="F904" s="365"/>
      <c r="G904" s="328"/>
      <c r="H904" s="328"/>
      <c r="I904" s="367"/>
    </row>
    <row r="905" spans="1:9" s="18" customFormat="1" x14ac:dyDescent="0.2">
      <c r="A905" s="598"/>
      <c r="B905" s="593" t="s">
        <v>48</v>
      </c>
      <c r="C905" s="599">
        <v>2</v>
      </c>
      <c r="D905" s="599">
        <v>40.590000000000003</v>
      </c>
      <c r="E905" s="599">
        <v>7.02</v>
      </c>
      <c r="F905" s="599"/>
      <c r="G905" s="600">
        <f t="shared" si="45"/>
        <v>284.9418</v>
      </c>
      <c r="H905" s="600">
        <f t="shared" si="46"/>
        <v>569.8836</v>
      </c>
      <c r="I905" s="601" t="s">
        <v>2</v>
      </c>
    </row>
    <row r="906" spans="1:9" s="18" customFormat="1" x14ac:dyDescent="0.2">
      <c r="A906" s="265"/>
      <c r="B906" s="581" t="s">
        <v>188</v>
      </c>
      <c r="C906" s="327"/>
      <c r="D906" s="327"/>
      <c r="E906" s="327"/>
      <c r="F906" s="327"/>
      <c r="G906" s="328"/>
      <c r="H906" s="328"/>
      <c r="I906" s="329"/>
    </row>
    <row r="907" spans="1:9" s="18" customFormat="1" x14ac:dyDescent="0.2">
      <c r="A907" s="265"/>
      <c r="B907" s="571"/>
      <c r="C907" s="327">
        <v>1</v>
      </c>
      <c r="D907" s="327">
        <v>22.34</v>
      </c>
      <c r="E907" s="327">
        <v>5.59</v>
      </c>
      <c r="F907" s="327"/>
      <c r="G907" s="328">
        <f t="shared" si="45"/>
        <v>124.8806</v>
      </c>
      <c r="H907" s="328">
        <f t="shared" si="46"/>
        <v>124.8806</v>
      </c>
      <c r="I907" s="329" t="s">
        <v>2</v>
      </c>
    </row>
    <row r="908" spans="1:9" s="18" customFormat="1" ht="13.5" thickBot="1" x14ac:dyDescent="0.25">
      <c r="A908" s="383"/>
      <c r="B908" s="384"/>
      <c r="C908" s="384"/>
      <c r="D908" s="384"/>
      <c r="E908" s="384"/>
      <c r="F908" s="384"/>
      <c r="G908" s="385"/>
      <c r="H908" s="386"/>
      <c r="I908" s="387"/>
    </row>
    <row r="909" spans="1:9" s="12" customFormat="1" ht="12.75" customHeight="1" thickBot="1" x14ac:dyDescent="0.25">
      <c r="A909" s="408" t="s">
        <v>95</v>
      </c>
      <c r="B909" s="520" t="s">
        <v>49</v>
      </c>
      <c r="C909" s="521"/>
      <c r="D909" s="521"/>
      <c r="E909" s="521"/>
      <c r="F909" s="521"/>
      <c r="G909" s="522"/>
      <c r="H909" s="410">
        <f>SUM(H911:H1077)</f>
        <v>1087.1951000000006</v>
      </c>
      <c r="I909" s="444" t="s">
        <v>2</v>
      </c>
    </row>
    <row r="910" spans="1:9" s="18" customFormat="1" x14ac:dyDescent="0.2">
      <c r="A910" s="380"/>
      <c r="B910" s="368"/>
      <c r="C910" s="368"/>
      <c r="D910" s="368"/>
      <c r="E910" s="368"/>
      <c r="F910" s="368"/>
      <c r="G910" s="381"/>
      <c r="H910" s="369"/>
      <c r="I910" s="370"/>
    </row>
    <row r="911" spans="1:9" s="18" customFormat="1" x14ac:dyDescent="0.2">
      <c r="A911" s="265"/>
      <c r="B911" s="364" t="s">
        <v>161</v>
      </c>
      <c r="C911" s="365"/>
      <c r="D911" s="365"/>
      <c r="E911" s="365"/>
      <c r="F911" s="365"/>
      <c r="G911" s="382"/>
      <c r="H911" s="366"/>
      <c r="I911" s="367"/>
    </row>
    <row r="912" spans="1:9" s="18" customFormat="1" x14ac:dyDescent="0.2">
      <c r="A912" s="265"/>
      <c r="B912" s="238" t="s">
        <v>166</v>
      </c>
      <c r="C912" s="365"/>
      <c r="D912" s="365"/>
      <c r="E912" s="365"/>
      <c r="F912" s="365"/>
      <c r="G912" s="382"/>
      <c r="H912" s="366"/>
      <c r="I912" s="367"/>
    </row>
    <row r="913" spans="1:9" s="18" customFormat="1" x14ac:dyDescent="0.2">
      <c r="A913" s="265"/>
      <c r="B913" s="571" t="s">
        <v>163</v>
      </c>
      <c r="C913" s="327">
        <v>1</v>
      </c>
      <c r="D913" s="327">
        <v>0.95</v>
      </c>
      <c r="E913" s="327"/>
      <c r="F913" s="327">
        <v>2.1</v>
      </c>
      <c r="G913" s="328">
        <f>D913*F913</f>
        <v>1.9949999999999999</v>
      </c>
      <c r="H913" s="328">
        <f>G913*C913</f>
        <v>1.9949999999999999</v>
      </c>
      <c r="I913" s="329" t="s">
        <v>2</v>
      </c>
    </row>
    <row r="914" spans="1:9" s="18" customFormat="1" x14ac:dyDescent="0.2">
      <c r="A914" s="265"/>
      <c r="B914" s="571" t="s">
        <v>167</v>
      </c>
      <c r="C914" s="327">
        <v>2</v>
      </c>
      <c r="D914" s="327">
        <v>1.5</v>
      </c>
      <c r="E914" s="327"/>
      <c r="F914" s="327">
        <v>0.5</v>
      </c>
      <c r="G914" s="328">
        <f t="shared" ref="G914:G915" si="47">D914*F914</f>
        <v>0.75</v>
      </c>
      <c r="H914" s="328">
        <f t="shared" ref="H914:H915" si="48">G914*C914</f>
        <v>1.5</v>
      </c>
      <c r="I914" s="329" t="s">
        <v>2</v>
      </c>
    </row>
    <row r="915" spans="1:9" s="18" customFormat="1" x14ac:dyDescent="0.2">
      <c r="A915" s="265"/>
      <c r="B915" s="571" t="s">
        <v>167</v>
      </c>
      <c r="C915" s="327">
        <v>2</v>
      </c>
      <c r="D915" s="327">
        <v>1.98</v>
      </c>
      <c r="E915" s="327"/>
      <c r="F915" s="327">
        <v>1.8</v>
      </c>
      <c r="G915" s="328">
        <f t="shared" si="47"/>
        <v>3.5640000000000001</v>
      </c>
      <c r="H915" s="328">
        <f t="shared" si="48"/>
        <v>7.1280000000000001</v>
      </c>
      <c r="I915" s="329" t="s">
        <v>2</v>
      </c>
    </row>
    <row r="916" spans="1:9" s="18" customFormat="1" x14ac:dyDescent="0.2">
      <c r="A916" s="265"/>
      <c r="B916" s="588" t="s">
        <v>162</v>
      </c>
      <c r="C916" s="365"/>
      <c r="D916" s="365"/>
      <c r="E916" s="365"/>
      <c r="F916" s="365"/>
      <c r="G916" s="382"/>
      <c r="H916" s="366"/>
      <c r="I916" s="367"/>
    </row>
    <row r="917" spans="1:9" s="18" customFormat="1" x14ac:dyDescent="0.2">
      <c r="A917" s="265"/>
      <c r="B917" s="571" t="s">
        <v>163</v>
      </c>
      <c r="C917" s="327">
        <v>9</v>
      </c>
      <c r="D917" s="327">
        <v>1.2</v>
      </c>
      <c r="E917" s="327"/>
      <c r="F917" s="327">
        <v>2.1</v>
      </c>
      <c r="G917" s="328">
        <f>D917*F917</f>
        <v>2.52</v>
      </c>
      <c r="H917" s="328">
        <f>G917*C917</f>
        <v>22.68</v>
      </c>
      <c r="I917" s="329" t="s">
        <v>2</v>
      </c>
    </row>
    <row r="918" spans="1:9" s="18" customFormat="1" x14ac:dyDescent="0.2">
      <c r="A918" s="265"/>
      <c r="B918" s="571"/>
      <c r="C918" s="327">
        <v>2</v>
      </c>
      <c r="D918" s="327">
        <v>0.9</v>
      </c>
      <c r="E918" s="327"/>
      <c r="F918" s="327">
        <v>2.1</v>
      </c>
      <c r="G918" s="328">
        <f t="shared" ref="G918:G929" si="49">D918*F918</f>
        <v>1.8900000000000001</v>
      </c>
      <c r="H918" s="328">
        <f t="shared" ref="H918:H929" si="50">G918*C918</f>
        <v>3.7800000000000002</v>
      </c>
      <c r="I918" s="329" t="s">
        <v>2</v>
      </c>
    </row>
    <row r="919" spans="1:9" s="18" customFormat="1" x14ac:dyDescent="0.2">
      <c r="A919" s="265"/>
      <c r="B919" s="571" t="s">
        <v>167</v>
      </c>
      <c r="C919" s="327">
        <v>6</v>
      </c>
      <c r="D919" s="327">
        <v>3.65</v>
      </c>
      <c r="E919" s="327"/>
      <c r="F919" s="327">
        <v>1.8</v>
      </c>
      <c r="G919" s="328">
        <f t="shared" si="49"/>
        <v>6.57</v>
      </c>
      <c r="H919" s="328">
        <f t="shared" si="50"/>
        <v>39.42</v>
      </c>
      <c r="I919" s="329" t="s">
        <v>2</v>
      </c>
    </row>
    <row r="920" spans="1:9" s="18" customFormat="1" x14ac:dyDescent="0.2">
      <c r="A920" s="265"/>
      <c r="B920" s="252"/>
      <c r="C920" s="327">
        <v>8</v>
      </c>
      <c r="D920" s="327">
        <v>3.35</v>
      </c>
      <c r="E920" s="327"/>
      <c r="F920" s="327">
        <v>1.8</v>
      </c>
      <c r="G920" s="328">
        <f t="shared" si="49"/>
        <v>6.03</v>
      </c>
      <c r="H920" s="328">
        <f t="shared" si="50"/>
        <v>48.24</v>
      </c>
      <c r="I920" s="329" t="s">
        <v>2</v>
      </c>
    </row>
    <row r="921" spans="1:9" s="18" customFormat="1" x14ac:dyDescent="0.2">
      <c r="A921" s="265"/>
      <c r="B921" s="252"/>
      <c r="C921" s="327">
        <v>2</v>
      </c>
      <c r="D921" s="327">
        <v>3.42</v>
      </c>
      <c r="E921" s="327"/>
      <c r="F921" s="327">
        <v>1.8</v>
      </c>
      <c r="G921" s="328">
        <f t="shared" si="49"/>
        <v>6.1559999999999997</v>
      </c>
      <c r="H921" s="328">
        <f t="shared" si="50"/>
        <v>12.311999999999999</v>
      </c>
      <c r="I921" s="329" t="s">
        <v>2</v>
      </c>
    </row>
    <row r="922" spans="1:9" s="18" customFormat="1" x14ac:dyDescent="0.2">
      <c r="A922" s="265"/>
      <c r="B922" s="252"/>
      <c r="C922" s="327">
        <v>2</v>
      </c>
      <c r="D922" s="327">
        <v>3.51</v>
      </c>
      <c r="E922" s="327"/>
      <c r="F922" s="327">
        <v>1.8</v>
      </c>
      <c r="G922" s="328">
        <f t="shared" si="49"/>
        <v>6.3179999999999996</v>
      </c>
      <c r="H922" s="328">
        <f t="shared" si="50"/>
        <v>12.635999999999999</v>
      </c>
      <c r="I922" s="329" t="s">
        <v>2</v>
      </c>
    </row>
    <row r="923" spans="1:9" s="18" customFormat="1" x14ac:dyDescent="0.2">
      <c r="A923" s="265"/>
      <c r="B923" s="252"/>
      <c r="C923" s="327">
        <v>8</v>
      </c>
      <c r="D923" s="327">
        <v>3.35</v>
      </c>
      <c r="E923" s="327"/>
      <c r="F923" s="327">
        <v>0.5</v>
      </c>
      <c r="G923" s="328">
        <f t="shared" si="49"/>
        <v>1.675</v>
      </c>
      <c r="H923" s="328">
        <f t="shared" si="50"/>
        <v>13.4</v>
      </c>
      <c r="I923" s="329" t="s">
        <v>2</v>
      </c>
    </row>
    <row r="924" spans="1:9" s="18" customFormat="1" x14ac:dyDescent="0.2">
      <c r="A924" s="265"/>
      <c r="B924" s="252"/>
      <c r="C924" s="327">
        <v>2</v>
      </c>
      <c r="D924" s="327">
        <v>3.42</v>
      </c>
      <c r="E924" s="327"/>
      <c r="F924" s="327">
        <v>0.5</v>
      </c>
      <c r="G924" s="328">
        <f t="shared" si="49"/>
        <v>1.71</v>
      </c>
      <c r="H924" s="328">
        <f t="shared" si="50"/>
        <v>3.42</v>
      </c>
      <c r="I924" s="329" t="s">
        <v>2</v>
      </c>
    </row>
    <row r="925" spans="1:9" s="18" customFormat="1" x14ac:dyDescent="0.2">
      <c r="A925" s="265"/>
      <c r="B925" s="252"/>
      <c r="C925" s="327">
        <v>7</v>
      </c>
      <c r="D925" s="327">
        <v>3.65</v>
      </c>
      <c r="E925" s="327"/>
      <c r="F925" s="327">
        <v>0.5</v>
      </c>
      <c r="G925" s="328">
        <f t="shared" si="49"/>
        <v>1.825</v>
      </c>
      <c r="H925" s="328">
        <f t="shared" si="50"/>
        <v>12.775</v>
      </c>
      <c r="I925" s="329" t="s">
        <v>2</v>
      </c>
    </row>
    <row r="926" spans="1:9" s="18" customFormat="1" x14ac:dyDescent="0.2">
      <c r="A926" s="265"/>
      <c r="B926" s="252"/>
      <c r="C926" s="327">
        <v>2</v>
      </c>
      <c r="D926" s="327">
        <v>3.64</v>
      </c>
      <c r="E926" s="327"/>
      <c r="F926" s="327">
        <v>1.8</v>
      </c>
      <c r="G926" s="328">
        <f t="shared" si="49"/>
        <v>6.5520000000000005</v>
      </c>
      <c r="H926" s="328">
        <f t="shared" si="50"/>
        <v>13.104000000000001</v>
      </c>
      <c r="I926" s="329" t="s">
        <v>2</v>
      </c>
    </row>
    <row r="927" spans="1:9" s="18" customFormat="1" x14ac:dyDescent="0.2">
      <c r="A927" s="265"/>
      <c r="B927" s="252"/>
      <c r="C927" s="327">
        <v>1</v>
      </c>
      <c r="D927" s="327">
        <v>1.5</v>
      </c>
      <c r="E927" s="327"/>
      <c r="F927" s="327">
        <v>1.8</v>
      </c>
      <c r="G927" s="328">
        <f t="shared" si="49"/>
        <v>2.7</v>
      </c>
      <c r="H927" s="328">
        <f t="shared" si="50"/>
        <v>2.7</v>
      </c>
      <c r="I927" s="329" t="s">
        <v>2</v>
      </c>
    </row>
    <row r="928" spans="1:9" s="18" customFormat="1" x14ac:dyDescent="0.2">
      <c r="A928" s="265"/>
      <c r="B928" s="571" t="s">
        <v>174</v>
      </c>
      <c r="C928" s="327">
        <v>1</v>
      </c>
      <c r="D928" s="327">
        <v>1.5</v>
      </c>
      <c r="E928" s="327"/>
      <c r="F928" s="327">
        <v>1.9</v>
      </c>
      <c r="G928" s="328">
        <f t="shared" si="49"/>
        <v>2.8499999999999996</v>
      </c>
      <c r="H928" s="328">
        <f t="shared" si="50"/>
        <v>2.8499999999999996</v>
      </c>
      <c r="I928" s="329" t="s">
        <v>2</v>
      </c>
    </row>
    <row r="929" spans="1:9" s="18" customFormat="1" x14ac:dyDescent="0.2">
      <c r="A929" s="265"/>
      <c r="B929" s="571" t="s">
        <v>220</v>
      </c>
      <c r="C929" s="327">
        <v>1</v>
      </c>
      <c r="D929" s="327">
        <v>1.77</v>
      </c>
      <c r="E929" s="327"/>
      <c r="F929" s="327">
        <v>2.1</v>
      </c>
      <c r="G929" s="328">
        <f t="shared" si="49"/>
        <v>3.7170000000000001</v>
      </c>
      <c r="H929" s="328">
        <f t="shared" si="50"/>
        <v>3.7170000000000001</v>
      </c>
      <c r="I929" s="329" t="s">
        <v>2</v>
      </c>
    </row>
    <row r="930" spans="1:9" s="18" customFormat="1" x14ac:dyDescent="0.2">
      <c r="A930" s="265"/>
      <c r="B930" s="588" t="s">
        <v>165</v>
      </c>
      <c r="C930" s="327"/>
      <c r="D930" s="327"/>
      <c r="E930" s="327"/>
      <c r="F930" s="327"/>
      <c r="G930" s="371"/>
      <c r="H930" s="328"/>
      <c r="I930" s="329"/>
    </row>
    <row r="931" spans="1:9" s="18" customFormat="1" x14ac:dyDescent="0.2">
      <c r="A931" s="265"/>
      <c r="B931" s="571" t="s">
        <v>163</v>
      </c>
      <c r="C931" s="327">
        <v>2</v>
      </c>
      <c r="D931" s="327">
        <v>0.9</v>
      </c>
      <c r="E931" s="327"/>
      <c r="F931" s="327">
        <v>2.1</v>
      </c>
      <c r="G931" s="328">
        <f>D931*F931</f>
        <v>1.8900000000000001</v>
      </c>
      <c r="H931" s="328">
        <f>G931*C931</f>
        <v>3.7800000000000002</v>
      </c>
      <c r="I931" s="329" t="s">
        <v>2</v>
      </c>
    </row>
    <row r="932" spans="1:9" s="18" customFormat="1" x14ac:dyDescent="0.2">
      <c r="A932" s="265"/>
      <c r="B932" s="588" t="s">
        <v>164</v>
      </c>
      <c r="C932" s="327"/>
      <c r="D932" s="327"/>
      <c r="E932" s="327"/>
      <c r="F932" s="327"/>
      <c r="G932" s="371"/>
      <c r="H932" s="328"/>
      <c r="I932" s="329"/>
    </row>
    <row r="933" spans="1:9" s="18" customFormat="1" x14ac:dyDescent="0.2">
      <c r="A933" s="265"/>
      <c r="B933" s="571" t="s">
        <v>163</v>
      </c>
      <c r="C933" s="327">
        <v>1</v>
      </c>
      <c r="D933" s="327">
        <v>0.8</v>
      </c>
      <c r="E933" s="327"/>
      <c r="F933" s="327">
        <v>2.1</v>
      </c>
      <c r="G933" s="328">
        <f>D933*F933</f>
        <v>1.6800000000000002</v>
      </c>
      <c r="H933" s="328">
        <f>G933*C933</f>
        <v>1.6800000000000002</v>
      </c>
      <c r="I933" s="329" t="s">
        <v>2</v>
      </c>
    </row>
    <row r="934" spans="1:9" s="18" customFormat="1" x14ac:dyDescent="0.2">
      <c r="A934" s="265"/>
      <c r="B934" s="571" t="s">
        <v>167</v>
      </c>
      <c r="C934" s="327">
        <v>1</v>
      </c>
      <c r="D934" s="327">
        <v>1.5</v>
      </c>
      <c r="E934" s="327"/>
      <c r="F934" s="327">
        <v>1.8</v>
      </c>
      <c r="G934" s="328">
        <f>D934*F934</f>
        <v>2.7</v>
      </c>
      <c r="H934" s="328">
        <f>G934*C934</f>
        <v>2.7</v>
      </c>
      <c r="I934" s="329" t="s">
        <v>2</v>
      </c>
    </row>
    <row r="935" spans="1:9" s="18" customFormat="1" x14ac:dyDescent="0.2">
      <c r="A935" s="265"/>
      <c r="B935" s="588" t="s">
        <v>168</v>
      </c>
      <c r="C935" s="327"/>
      <c r="D935" s="327"/>
      <c r="E935" s="327"/>
      <c r="F935" s="327"/>
      <c r="G935" s="371"/>
      <c r="H935" s="328"/>
      <c r="I935" s="329"/>
    </row>
    <row r="936" spans="1:9" s="18" customFormat="1" x14ac:dyDescent="0.2">
      <c r="A936" s="265"/>
      <c r="B936" s="571" t="s">
        <v>163</v>
      </c>
      <c r="C936" s="327">
        <v>4</v>
      </c>
      <c r="D936" s="327">
        <v>0.9</v>
      </c>
      <c r="E936" s="327"/>
      <c r="F936" s="327">
        <v>2.1</v>
      </c>
      <c r="G936" s="328">
        <f>D936*F936</f>
        <v>1.8900000000000001</v>
      </c>
      <c r="H936" s="328">
        <f>G936*C936</f>
        <v>7.5600000000000005</v>
      </c>
      <c r="I936" s="329" t="s">
        <v>2</v>
      </c>
    </row>
    <row r="937" spans="1:9" s="18" customFormat="1" x14ac:dyDescent="0.2">
      <c r="A937" s="265"/>
      <c r="B937" s="571"/>
      <c r="C937" s="327">
        <v>1</v>
      </c>
      <c r="D937" s="327">
        <v>1.2</v>
      </c>
      <c r="E937" s="327"/>
      <c r="F937" s="327">
        <v>2.1</v>
      </c>
      <c r="G937" s="328">
        <f t="shared" ref="G937:G944" si="51">D937*F937</f>
        <v>2.52</v>
      </c>
      <c r="H937" s="328">
        <f t="shared" ref="H937:H944" si="52">G937*C937</f>
        <v>2.52</v>
      </c>
      <c r="I937" s="329" t="s">
        <v>2</v>
      </c>
    </row>
    <row r="938" spans="1:9" s="18" customFormat="1" x14ac:dyDescent="0.2">
      <c r="A938" s="265"/>
      <c r="B938" s="571" t="s">
        <v>167</v>
      </c>
      <c r="C938" s="327">
        <v>2</v>
      </c>
      <c r="D938" s="327">
        <v>3.65</v>
      </c>
      <c r="E938" s="327"/>
      <c r="F938" s="327">
        <v>1.8</v>
      </c>
      <c r="G938" s="328">
        <f t="shared" si="51"/>
        <v>6.57</v>
      </c>
      <c r="H938" s="328">
        <f t="shared" si="52"/>
        <v>13.14</v>
      </c>
      <c r="I938" s="329" t="s">
        <v>2</v>
      </c>
    </row>
    <row r="939" spans="1:9" s="18" customFormat="1" x14ac:dyDescent="0.2">
      <c r="A939" s="265"/>
      <c r="B939" s="571"/>
      <c r="C939" s="327">
        <v>1</v>
      </c>
      <c r="D939" s="327">
        <v>3.68</v>
      </c>
      <c r="E939" s="327"/>
      <c r="F939" s="327">
        <v>1.8</v>
      </c>
      <c r="G939" s="328">
        <f t="shared" si="51"/>
        <v>6.6240000000000006</v>
      </c>
      <c r="H939" s="328">
        <f t="shared" si="52"/>
        <v>6.6240000000000006</v>
      </c>
      <c r="I939" s="329" t="s">
        <v>2</v>
      </c>
    </row>
    <row r="940" spans="1:9" s="18" customFormat="1" x14ac:dyDescent="0.2">
      <c r="A940" s="265"/>
      <c r="B940" s="571"/>
      <c r="C940" s="327">
        <v>1</v>
      </c>
      <c r="D940" s="327">
        <v>3.77</v>
      </c>
      <c r="E940" s="327"/>
      <c r="F940" s="327">
        <v>1.8</v>
      </c>
      <c r="G940" s="328">
        <f t="shared" si="51"/>
        <v>6.7860000000000005</v>
      </c>
      <c r="H940" s="328">
        <f t="shared" si="52"/>
        <v>6.7860000000000005</v>
      </c>
      <c r="I940" s="329" t="s">
        <v>2</v>
      </c>
    </row>
    <row r="941" spans="1:9" s="18" customFormat="1" x14ac:dyDescent="0.2">
      <c r="A941" s="265"/>
      <c r="B941" s="571"/>
      <c r="C941" s="327">
        <v>2</v>
      </c>
      <c r="D941" s="327">
        <v>3.65</v>
      </c>
      <c r="E941" s="327"/>
      <c r="F941" s="327">
        <v>0.5</v>
      </c>
      <c r="G941" s="328">
        <f t="shared" si="51"/>
        <v>1.825</v>
      </c>
      <c r="H941" s="328">
        <f t="shared" si="52"/>
        <v>3.65</v>
      </c>
      <c r="I941" s="329" t="s">
        <v>2</v>
      </c>
    </row>
    <row r="942" spans="1:9" s="18" customFormat="1" x14ac:dyDescent="0.2">
      <c r="A942" s="265"/>
      <c r="B942" s="571" t="s">
        <v>174</v>
      </c>
      <c r="C942" s="327">
        <v>4</v>
      </c>
      <c r="D942" s="327">
        <v>3.77</v>
      </c>
      <c r="E942" s="327"/>
      <c r="F942" s="327">
        <v>1.9</v>
      </c>
      <c r="G942" s="328">
        <f t="shared" si="51"/>
        <v>7.1629999999999994</v>
      </c>
      <c r="H942" s="328">
        <f t="shared" si="52"/>
        <v>28.651999999999997</v>
      </c>
      <c r="I942" s="329" t="s">
        <v>2</v>
      </c>
    </row>
    <row r="943" spans="1:9" s="18" customFormat="1" x14ac:dyDescent="0.2">
      <c r="A943" s="265"/>
      <c r="B943" s="571"/>
      <c r="C943" s="327">
        <v>1</v>
      </c>
      <c r="D943" s="327">
        <v>1.5</v>
      </c>
      <c r="E943" s="327"/>
      <c r="F943" s="327">
        <v>2.2999999999999998</v>
      </c>
      <c r="G943" s="328">
        <f t="shared" si="51"/>
        <v>3.4499999999999997</v>
      </c>
      <c r="H943" s="328">
        <f t="shared" si="52"/>
        <v>3.4499999999999997</v>
      </c>
      <c r="I943" s="329" t="s">
        <v>2</v>
      </c>
    </row>
    <row r="944" spans="1:9" s="18" customFormat="1" x14ac:dyDescent="0.2">
      <c r="A944" s="265"/>
      <c r="B944" s="571"/>
      <c r="C944" s="327">
        <v>1</v>
      </c>
      <c r="D944" s="327">
        <v>1.5</v>
      </c>
      <c r="E944" s="327"/>
      <c r="F944" s="327">
        <v>1.9</v>
      </c>
      <c r="G944" s="328">
        <f t="shared" si="51"/>
        <v>2.8499999999999996</v>
      </c>
      <c r="H944" s="328">
        <f t="shared" si="52"/>
        <v>2.8499999999999996</v>
      </c>
      <c r="I944" s="329" t="s">
        <v>2</v>
      </c>
    </row>
    <row r="945" spans="1:9" s="18" customFormat="1" x14ac:dyDescent="0.2">
      <c r="A945" s="265"/>
      <c r="B945" s="588" t="s">
        <v>169</v>
      </c>
      <c r="C945" s="327"/>
      <c r="D945" s="327"/>
      <c r="E945" s="327"/>
      <c r="F945" s="327"/>
      <c r="G945" s="371"/>
      <c r="H945" s="328"/>
      <c r="I945" s="329"/>
    </row>
    <row r="946" spans="1:9" s="18" customFormat="1" x14ac:dyDescent="0.2">
      <c r="A946" s="265"/>
      <c r="B946" s="571" t="s">
        <v>163</v>
      </c>
      <c r="C946" s="327">
        <v>2</v>
      </c>
      <c r="D946" s="327">
        <v>0.9</v>
      </c>
      <c r="E946" s="327"/>
      <c r="F946" s="327">
        <v>2.1</v>
      </c>
      <c r="G946" s="328">
        <f>D946*F946</f>
        <v>1.8900000000000001</v>
      </c>
      <c r="H946" s="328">
        <f>G946*C946</f>
        <v>3.7800000000000002</v>
      </c>
      <c r="I946" s="329" t="s">
        <v>2</v>
      </c>
    </row>
    <row r="947" spans="1:9" s="18" customFormat="1" x14ac:dyDescent="0.2">
      <c r="A947" s="265"/>
      <c r="B947" s="571"/>
      <c r="C947" s="327">
        <v>2</v>
      </c>
      <c r="D947" s="327">
        <v>0.6</v>
      </c>
      <c r="E947" s="327"/>
      <c r="F947" s="327">
        <v>1.5</v>
      </c>
      <c r="G947" s="328">
        <f t="shared" ref="G947:G948" si="53">D947*F947</f>
        <v>0.89999999999999991</v>
      </c>
      <c r="H947" s="328">
        <f t="shared" ref="H947:H948" si="54">G947*C947</f>
        <v>1.7999999999999998</v>
      </c>
      <c r="I947" s="329" t="s">
        <v>2</v>
      </c>
    </row>
    <row r="948" spans="1:9" s="18" customFormat="1" x14ac:dyDescent="0.2">
      <c r="A948" s="265"/>
      <c r="B948" s="571" t="s">
        <v>167</v>
      </c>
      <c r="C948" s="327">
        <v>1</v>
      </c>
      <c r="D948" s="327">
        <v>3.68</v>
      </c>
      <c r="E948" s="327"/>
      <c r="F948" s="327">
        <v>0.5</v>
      </c>
      <c r="G948" s="328">
        <f t="shared" si="53"/>
        <v>1.84</v>
      </c>
      <c r="H948" s="328">
        <f t="shared" si="54"/>
        <v>1.84</v>
      </c>
      <c r="I948" s="329" t="s">
        <v>2</v>
      </c>
    </row>
    <row r="949" spans="1:9" s="18" customFormat="1" x14ac:dyDescent="0.2">
      <c r="A949" s="265"/>
      <c r="B949" s="571"/>
      <c r="C949" s="327"/>
      <c r="D949" s="327"/>
      <c r="E949" s="327"/>
      <c r="F949" s="327"/>
      <c r="G949" s="371"/>
      <c r="H949" s="328"/>
      <c r="I949" s="329"/>
    </row>
    <row r="950" spans="1:9" s="18" customFormat="1" x14ac:dyDescent="0.2">
      <c r="A950" s="265"/>
      <c r="B950" s="588" t="s">
        <v>170</v>
      </c>
      <c r="C950" s="327"/>
      <c r="D950" s="327"/>
      <c r="E950" s="327"/>
      <c r="F950" s="327"/>
      <c r="G950" s="371"/>
      <c r="H950" s="328"/>
      <c r="I950" s="329"/>
    </row>
    <row r="951" spans="1:9" s="18" customFormat="1" x14ac:dyDescent="0.2">
      <c r="A951" s="265"/>
      <c r="B951" s="571" t="s">
        <v>163</v>
      </c>
      <c r="C951" s="327">
        <v>9</v>
      </c>
      <c r="D951" s="327">
        <v>1.2</v>
      </c>
      <c r="E951" s="327"/>
      <c r="F951" s="327">
        <v>2.1</v>
      </c>
      <c r="G951" s="328">
        <f>D951*F951</f>
        <v>2.52</v>
      </c>
      <c r="H951" s="328">
        <f>G951*C951</f>
        <v>22.68</v>
      </c>
      <c r="I951" s="329" t="s">
        <v>2</v>
      </c>
    </row>
    <row r="952" spans="1:9" s="18" customFormat="1" x14ac:dyDescent="0.2">
      <c r="A952" s="265"/>
      <c r="B952" s="571"/>
      <c r="C952" s="327">
        <v>1</v>
      </c>
      <c r="D952" s="327">
        <v>0.9</v>
      </c>
      <c r="E952" s="327"/>
      <c r="F952" s="327">
        <v>2.1</v>
      </c>
      <c r="G952" s="328">
        <f t="shared" ref="G952:G965" si="55">D952*F952</f>
        <v>1.8900000000000001</v>
      </c>
      <c r="H952" s="328">
        <f t="shared" ref="H952:H965" si="56">G952*C952</f>
        <v>1.8900000000000001</v>
      </c>
      <c r="I952" s="329" t="s">
        <v>2</v>
      </c>
    </row>
    <row r="953" spans="1:9" s="18" customFormat="1" x14ac:dyDescent="0.2">
      <c r="A953" s="265"/>
      <c r="B953" s="571" t="s">
        <v>167</v>
      </c>
      <c r="C953" s="327">
        <v>8</v>
      </c>
      <c r="D953" s="327">
        <v>3.65</v>
      </c>
      <c r="E953" s="327"/>
      <c r="F953" s="327">
        <v>1.8</v>
      </c>
      <c r="G953" s="328">
        <f t="shared" si="55"/>
        <v>6.57</v>
      </c>
      <c r="H953" s="328">
        <f t="shared" si="56"/>
        <v>52.56</v>
      </c>
      <c r="I953" s="329" t="s">
        <v>2</v>
      </c>
    </row>
    <row r="954" spans="1:9" s="18" customFormat="1" x14ac:dyDescent="0.2">
      <c r="A954" s="265"/>
      <c r="B954" s="252"/>
      <c r="C954" s="327">
        <v>8</v>
      </c>
      <c r="D954" s="327">
        <v>3.35</v>
      </c>
      <c r="E954" s="327"/>
      <c r="F954" s="327">
        <v>1.8</v>
      </c>
      <c r="G954" s="328">
        <f t="shared" si="55"/>
        <v>6.03</v>
      </c>
      <c r="H954" s="328">
        <f t="shared" si="56"/>
        <v>48.24</v>
      </c>
      <c r="I954" s="329" t="s">
        <v>2</v>
      </c>
    </row>
    <row r="955" spans="1:9" s="18" customFormat="1" x14ac:dyDescent="0.2">
      <c r="A955" s="265"/>
      <c r="B955" s="252"/>
      <c r="C955" s="327">
        <v>6</v>
      </c>
      <c r="D955" s="327">
        <v>3.35</v>
      </c>
      <c r="E955" s="327"/>
      <c r="F955" s="327">
        <v>0.5</v>
      </c>
      <c r="G955" s="328">
        <f t="shared" si="55"/>
        <v>1.675</v>
      </c>
      <c r="H955" s="328">
        <f t="shared" si="56"/>
        <v>10.050000000000001</v>
      </c>
      <c r="I955" s="329" t="s">
        <v>2</v>
      </c>
    </row>
    <row r="956" spans="1:9" s="18" customFormat="1" x14ac:dyDescent="0.2">
      <c r="A956" s="265"/>
      <c r="B956" s="252"/>
      <c r="C956" s="327">
        <v>12</v>
      </c>
      <c r="D956" s="327">
        <v>3.65</v>
      </c>
      <c r="E956" s="327"/>
      <c r="F956" s="327">
        <v>0.5</v>
      </c>
      <c r="G956" s="328">
        <f t="shared" si="55"/>
        <v>1.825</v>
      </c>
      <c r="H956" s="328">
        <f t="shared" si="56"/>
        <v>21.9</v>
      </c>
      <c r="I956" s="329" t="s">
        <v>2</v>
      </c>
    </row>
    <row r="957" spans="1:9" s="18" customFormat="1" x14ac:dyDescent="0.2">
      <c r="A957" s="265"/>
      <c r="B957" s="252"/>
      <c r="C957" s="327">
        <v>4</v>
      </c>
      <c r="D957" s="327">
        <v>3.42</v>
      </c>
      <c r="E957" s="327"/>
      <c r="F957" s="327">
        <v>0.5</v>
      </c>
      <c r="G957" s="328">
        <f t="shared" si="55"/>
        <v>1.71</v>
      </c>
      <c r="H957" s="328">
        <f t="shared" si="56"/>
        <v>6.84</v>
      </c>
      <c r="I957" s="329" t="s">
        <v>2</v>
      </c>
    </row>
    <row r="958" spans="1:9" s="18" customFormat="1" x14ac:dyDescent="0.2">
      <c r="A958" s="265"/>
      <c r="B958" s="252"/>
      <c r="C958" s="327">
        <v>2</v>
      </c>
      <c r="D958" s="327">
        <v>3.51</v>
      </c>
      <c r="E958" s="327"/>
      <c r="F958" s="327">
        <v>1.8</v>
      </c>
      <c r="G958" s="328">
        <f t="shared" si="55"/>
        <v>6.3179999999999996</v>
      </c>
      <c r="H958" s="328">
        <f t="shared" si="56"/>
        <v>12.635999999999999</v>
      </c>
      <c r="I958" s="329" t="s">
        <v>2</v>
      </c>
    </row>
    <row r="959" spans="1:9" s="18" customFormat="1" x14ac:dyDescent="0.2">
      <c r="A959" s="265"/>
      <c r="B959" s="252"/>
      <c r="C959" s="327">
        <v>2</v>
      </c>
      <c r="D959" s="327">
        <v>3.42</v>
      </c>
      <c r="E959" s="327"/>
      <c r="F959" s="327">
        <v>1.8</v>
      </c>
      <c r="G959" s="328">
        <f t="shared" si="55"/>
        <v>6.1559999999999997</v>
      </c>
      <c r="H959" s="328">
        <f t="shared" si="56"/>
        <v>12.311999999999999</v>
      </c>
      <c r="I959" s="329" t="s">
        <v>2</v>
      </c>
    </row>
    <row r="960" spans="1:9" s="18" customFormat="1" x14ac:dyDescent="0.2">
      <c r="A960" s="265"/>
      <c r="B960" s="252"/>
      <c r="C960" s="327">
        <v>1</v>
      </c>
      <c r="D960" s="327">
        <v>3.68</v>
      </c>
      <c r="E960" s="327"/>
      <c r="F960" s="327">
        <v>1.8</v>
      </c>
      <c r="G960" s="328">
        <f t="shared" si="55"/>
        <v>6.6240000000000006</v>
      </c>
      <c r="H960" s="328">
        <f t="shared" si="56"/>
        <v>6.6240000000000006</v>
      </c>
      <c r="I960" s="329" t="s">
        <v>2</v>
      </c>
    </row>
    <row r="961" spans="1:9" s="18" customFormat="1" x14ac:dyDescent="0.2">
      <c r="A961" s="265"/>
      <c r="B961" s="252"/>
      <c r="C961" s="327">
        <v>1</v>
      </c>
      <c r="D961" s="327">
        <v>3.77</v>
      </c>
      <c r="E961" s="327"/>
      <c r="F961" s="327">
        <v>1.8</v>
      </c>
      <c r="G961" s="328">
        <f t="shared" si="55"/>
        <v>6.7860000000000005</v>
      </c>
      <c r="H961" s="328">
        <f t="shared" si="56"/>
        <v>6.7860000000000005</v>
      </c>
      <c r="I961" s="329" t="s">
        <v>2</v>
      </c>
    </row>
    <row r="962" spans="1:9" s="18" customFormat="1" x14ac:dyDescent="0.2">
      <c r="A962" s="265"/>
      <c r="B962" s="252"/>
      <c r="C962" s="327">
        <v>2</v>
      </c>
      <c r="D962" s="327">
        <v>3.64</v>
      </c>
      <c r="E962" s="327"/>
      <c r="F962" s="327">
        <v>1.8</v>
      </c>
      <c r="G962" s="328">
        <f t="shared" si="55"/>
        <v>6.5520000000000005</v>
      </c>
      <c r="H962" s="328">
        <f t="shared" si="56"/>
        <v>13.104000000000001</v>
      </c>
      <c r="I962" s="329" t="s">
        <v>2</v>
      </c>
    </row>
    <row r="963" spans="1:9" s="18" customFormat="1" x14ac:dyDescent="0.2">
      <c r="A963" s="265"/>
      <c r="B963" s="571" t="s">
        <v>174</v>
      </c>
      <c r="C963" s="327">
        <v>1</v>
      </c>
      <c r="D963" s="327">
        <v>1.5</v>
      </c>
      <c r="E963" s="327"/>
      <c r="F963" s="327">
        <v>2.2999999999999998</v>
      </c>
      <c r="G963" s="328">
        <f t="shared" si="55"/>
        <v>3.4499999999999997</v>
      </c>
      <c r="H963" s="328">
        <f t="shared" si="56"/>
        <v>3.4499999999999997</v>
      </c>
      <c r="I963" s="329" t="s">
        <v>2</v>
      </c>
    </row>
    <row r="964" spans="1:9" s="18" customFormat="1" x14ac:dyDescent="0.2">
      <c r="A964" s="265"/>
      <c r="B964" s="571"/>
      <c r="C964" s="327">
        <v>3</v>
      </c>
      <c r="D964" s="327">
        <v>3.77</v>
      </c>
      <c r="E964" s="327"/>
      <c r="F964" s="327">
        <v>0.5</v>
      </c>
      <c r="G964" s="328">
        <f t="shared" si="55"/>
        <v>1.885</v>
      </c>
      <c r="H964" s="328">
        <f t="shared" si="56"/>
        <v>5.6550000000000002</v>
      </c>
      <c r="I964" s="329" t="s">
        <v>2</v>
      </c>
    </row>
    <row r="965" spans="1:9" s="18" customFormat="1" x14ac:dyDescent="0.2">
      <c r="A965" s="265"/>
      <c r="B965" s="571"/>
      <c r="C965" s="327">
        <v>1</v>
      </c>
      <c r="D965" s="327">
        <v>1.3</v>
      </c>
      <c r="E965" s="327"/>
      <c r="F965" s="327">
        <v>2.2000000000000002</v>
      </c>
      <c r="G965" s="328">
        <f t="shared" si="55"/>
        <v>2.8600000000000003</v>
      </c>
      <c r="H965" s="328">
        <f t="shared" si="56"/>
        <v>2.8600000000000003</v>
      </c>
      <c r="I965" s="329" t="s">
        <v>2</v>
      </c>
    </row>
    <row r="966" spans="1:9" s="18" customFormat="1" x14ac:dyDescent="0.2">
      <c r="A966" s="265"/>
      <c r="B966" s="581" t="s">
        <v>171</v>
      </c>
      <c r="C966" s="365"/>
      <c r="D966" s="365"/>
      <c r="E966" s="365"/>
      <c r="F966" s="365"/>
      <c r="G966" s="382"/>
      <c r="H966" s="366"/>
      <c r="I966" s="367"/>
    </row>
    <row r="967" spans="1:9" s="18" customFormat="1" x14ac:dyDescent="0.2">
      <c r="A967" s="265"/>
      <c r="B967" s="571" t="s">
        <v>163</v>
      </c>
      <c r="C967" s="327">
        <v>3</v>
      </c>
      <c r="D967" s="327">
        <v>0.9</v>
      </c>
      <c r="E967" s="327"/>
      <c r="F967" s="327">
        <v>2.1</v>
      </c>
      <c r="G967" s="328">
        <f>D967*F967</f>
        <v>1.8900000000000001</v>
      </c>
      <c r="H967" s="328">
        <f>G967*C967</f>
        <v>5.67</v>
      </c>
      <c r="I967" s="329" t="s">
        <v>2</v>
      </c>
    </row>
    <row r="968" spans="1:9" s="18" customFormat="1" x14ac:dyDescent="0.2">
      <c r="A968" s="265"/>
      <c r="B968" s="571" t="s">
        <v>50</v>
      </c>
      <c r="C968" s="327">
        <v>2</v>
      </c>
      <c r="D968" s="327">
        <v>1.1000000000000001</v>
      </c>
      <c r="E968" s="327"/>
      <c r="F968" s="327">
        <v>2.25</v>
      </c>
      <c r="G968" s="328">
        <f t="shared" ref="G968:G971" si="57">D968*F968</f>
        <v>2.4750000000000001</v>
      </c>
      <c r="H968" s="328">
        <f t="shared" ref="H968:H971" si="58">G968*C968</f>
        <v>4.95</v>
      </c>
      <c r="I968" s="329" t="s">
        <v>2</v>
      </c>
    </row>
    <row r="969" spans="1:9" s="18" customFormat="1" x14ac:dyDescent="0.2">
      <c r="A969" s="265"/>
      <c r="B969" s="571"/>
      <c r="C969" s="327">
        <v>3</v>
      </c>
      <c r="D969" s="327">
        <v>2</v>
      </c>
      <c r="E969" s="327"/>
      <c r="F969" s="327">
        <v>0.5</v>
      </c>
      <c r="G969" s="328">
        <f t="shared" si="57"/>
        <v>1</v>
      </c>
      <c r="H969" s="328">
        <f t="shared" si="58"/>
        <v>3</v>
      </c>
      <c r="I969" s="329" t="s">
        <v>2</v>
      </c>
    </row>
    <row r="970" spans="1:9" s="18" customFormat="1" x14ac:dyDescent="0.2">
      <c r="A970" s="265"/>
      <c r="B970" s="571"/>
      <c r="C970" s="327">
        <v>1</v>
      </c>
      <c r="D970" s="327">
        <v>1.45</v>
      </c>
      <c r="E970" s="327"/>
      <c r="F970" s="327">
        <v>0.5</v>
      </c>
      <c r="G970" s="328">
        <f t="shared" si="57"/>
        <v>0.72499999999999998</v>
      </c>
      <c r="H970" s="328">
        <f t="shared" si="58"/>
        <v>0.72499999999999998</v>
      </c>
      <c r="I970" s="329" t="s">
        <v>2</v>
      </c>
    </row>
    <row r="971" spans="1:9" s="18" customFormat="1" x14ac:dyDescent="0.2">
      <c r="A971" s="265"/>
      <c r="B971" s="571"/>
      <c r="C971" s="327">
        <v>2</v>
      </c>
      <c r="D971" s="327">
        <v>3.63</v>
      </c>
      <c r="E971" s="327"/>
      <c r="F971" s="327">
        <v>0.5</v>
      </c>
      <c r="G971" s="328">
        <f t="shared" si="57"/>
        <v>1.8149999999999999</v>
      </c>
      <c r="H971" s="328">
        <f t="shared" si="58"/>
        <v>3.63</v>
      </c>
      <c r="I971" s="329" t="s">
        <v>2</v>
      </c>
    </row>
    <row r="972" spans="1:9" s="18" customFormat="1" x14ac:dyDescent="0.2">
      <c r="A972" s="265"/>
      <c r="B972" s="581" t="s">
        <v>172</v>
      </c>
      <c r="C972" s="365"/>
      <c r="D972" s="365"/>
      <c r="E972" s="365"/>
      <c r="F972" s="365"/>
      <c r="G972" s="382"/>
      <c r="H972" s="366"/>
      <c r="I972" s="367"/>
    </row>
    <row r="973" spans="1:9" s="18" customFormat="1" x14ac:dyDescent="0.2">
      <c r="A973" s="265"/>
      <c r="B973" s="588" t="s">
        <v>162</v>
      </c>
      <c r="C973" s="365"/>
      <c r="D973" s="365"/>
      <c r="E973" s="365"/>
      <c r="F973" s="365"/>
      <c r="G973" s="382"/>
      <c r="H973" s="366"/>
      <c r="I973" s="367"/>
    </row>
    <row r="974" spans="1:9" s="18" customFormat="1" x14ac:dyDescent="0.2">
      <c r="A974" s="265"/>
      <c r="B974" s="571" t="s">
        <v>163</v>
      </c>
      <c r="C974" s="327">
        <v>3</v>
      </c>
      <c r="D974" s="327">
        <v>1.1000000000000001</v>
      </c>
      <c r="E974" s="327"/>
      <c r="F974" s="327">
        <v>2</v>
      </c>
      <c r="G974" s="328">
        <f>D974*F974</f>
        <v>2.2000000000000002</v>
      </c>
      <c r="H974" s="328">
        <f>G974*C974</f>
        <v>6.6000000000000005</v>
      </c>
      <c r="I974" s="329" t="s">
        <v>2</v>
      </c>
    </row>
    <row r="975" spans="1:9" s="18" customFormat="1" x14ac:dyDescent="0.2">
      <c r="A975" s="265"/>
      <c r="B975" s="571"/>
      <c r="C975" s="327">
        <v>1</v>
      </c>
      <c r="D975" s="327">
        <v>0.8</v>
      </c>
      <c r="E975" s="327"/>
      <c r="F975" s="327">
        <v>2</v>
      </c>
      <c r="G975" s="328">
        <f t="shared" ref="G975:G976" si="59">D975*F975</f>
        <v>1.6</v>
      </c>
      <c r="H975" s="328">
        <f t="shared" ref="H975:H976" si="60">G975*C975</f>
        <v>1.6</v>
      </c>
      <c r="I975" s="329" t="s">
        <v>2</v>
      </c>
    </row>
    <row r="976" spans="1:9" s="18" customFormat="1" x14ac:dyDescent="0.2">
      <c r="A976" s="265"/>
      <c r="B976" s="571" t="s">
        <v>61</v>
      </c>
      <c r="C976" s="327">
        <v>3</v>
      </c>
      <c r="D976" s="327">
        <v>2.73</v>
      </c>
      <c r="E976" s="327"/>
      <c r="F976" s="327">
        <v>1.1200000000000001</v>
      </c>
      <c r="G976" s="328">
        <f t="shared" si="59"/>
        <v>3.0576000000000003</v>
      </c>
      <c r="H976" s="328">
        <f t="shared" si="60"/>
        <v>9.1728000000000005</v>
      </c>
      <c r="I976" s="329" t="s">
        <v>2</v>
      </c>
    </row>
    <row r="977" spans="1:9" s="18" customFormat="1" x14ac:dyDescent="0.2">
      <c r="A977" s="265"/>
      <c r="B977" s="571"/>
      <c r="C977" s="327">
        <v>3</v>
      </c>
      <c r="D977" s="327"/>
      <c r="E977" s="327"/>
      <c r="F977" s="327" t="s">
        <v>173</v>
      </c>
      <c r="G977" s="328">
        <v>2.67</v>
      </c>
      <c r="H977" s="328">
        <f>G977*C977</f>
        <v>8.01</v>
      </c>
      <c r="I977" s="329" t="s">
        <v>2</v>
      </c>
    </row>
    <row r="978" spans="1:9" s="18" customFormat="1" x14ac:dyDescent="0.2">
      <c r="A978" s="265"/>
      <c r="B978" s="571"/>
      <c r="C978" s="327">
        <v>6</v>
      </c>
      <c r="D978" s="327">
        <v>2.73</v>
      </c>
      <c r="E978" s="327"/>
      <c r="F978" s="327">
        <v>1.5</v>
      </c>
      <c r="G978" s="328">
        <f>D978*F978</f>
        <v>4.0949999999999998</v>
      </c>
      <c r="H978" s="328">
        <f>G978*C978</f>
        <v>24.57</v>
      </c>
      <c r="I978" s="329" t="s">
        <v>2</v>
      </c>
    </row>
    <row r="979" spans="1:9" s="18" customFormat="1" x14ac:dyDescent="0.2">
      <c r="A979" s="265"/>
      <c r="B979" s="588" t="s">
        <v>170</v>
      </c>
      <c r="C979" s="365"/>
      <c r="D979" s="365"/>
      <c r="E979" s="365"/>
      <c r="F979" s="365"/>
      <c r="G979" s="382"/>
      <c r="H979" s="366"/>
      <c r="I979" s="367"/>
    </row>
    <row r="980" spans="1:9" s="18" customFormat="1" x14ac:dyDescent="0.2">
      <c r="A980" s="265"/>
      <c r="B980" s="571" t="s">
        <v>163</v>
      </c>
      <c r="C980" s="327">
        <v>3</v>
      </c>
      <c r="D980" s="327">
        <v>1.1000000000000001</v>
      </c>
      <c r="E980" s="327"/>
      <c r="F980" s="327">
        <v>2</v>
      </c>
      <c r="G980" s="328">
        <f>D980*F980</f>
        <v>2.2000000000000002</v>
      </c>
      <c r="H980" s="328">
        <f t="shared" ref="H980:H985" si="61">G980*C980</f>
        <v>6.6000000000000005</v>
      </c>
      <c r="I980" s="329" t="s">
        <v>2</v>
      </c>
    </row>
    <row r="981" spans="1:9" s="18" customFormat="1" x14ac:dyDescent="0.2">
      <c r="A981" s="265"/>
      <c r="B981" s="571" t="s">
        <v>61</v>
      </c>
      <c r="C981" s="327">
        <v>3</v>
      </c>
      <c r="D981" s="327">
        <v>2.73</v>
      </c>
      <c r="E981" s="327"/>
      <c r="F981" s="327">
        <v>1.1200000000000001</v>
      </c>
      <c r="G981" s="328">
        <f>D981*F981</f>
        <v>3.0576000000000003</v>
      </c>
      <c r="H981" s="328">
        <f t="shared" si="61"/>
        <v>9.1728000000000005</v>
      </c>
      <c r="I981" s="329" t="s">
        <v>2</v>
      </c>
    </row>
    <row r="982" spans="1:9" s="18" customFormat="1" x14ac:dyDescent="0.2">
      <c r="A982" s="265"/>
      <c r="B982" s="571"/>
      <c r="C982" s="327">
        <v>3</v>
      </c>
      <c r="D982" s="327"/>
      <c r="E982" s="327"/>
      <c r="F982" s="327" t="s">
        <v>173</v>
      </c>
      <c r="G982" s="328">
        <v>2.67</v>
      </c>
      <c r="H982" s="328">
        <f t="shared" si="61"/>
        <v>8.01</v>
      </c>
      <c r="I982" s="329" t="s">
        <v>2</v>
      </c>
    </row>
    <row r="983" spans="1:9" s="18" customFormat="1" x14ac:dyDescent="0.2">
      <c r="A983" s="265"/>
      <c r="B983" s="571"/>
      <c r="C983" s="327">
        <v>6</v>
      </c>
      <c r="D983" s="327">
        <v>2.73</v>
      </c>
      <c r="E983" s="327"/>
      <c r="F983" s="327">
        <v>1.5</v>
      </c>
      <c r="G983" s="328">
        <f>D983*F983</f>
        <v>4.0949999999999998</v>
      </c>
      <c r="H983" s="328">
        <f t="shared" si="61"/>
        <v>24.57</v>
      </c>
      <c r="I983" s="329" t="s">
        <v>2</v>
      </c>
    </row>
    <row r="984" spans="1:9" s="18" customFormat="1" x14ac:dyDescent="0.2">
      <c r="A984" s="265"/>
      <c r="B984" s="571" t="s">
        <v>174</v>
      </c>
      <c r="C984" s="327">
        <v>2</v>
      </c>
      <c r="D984" s="327">
        <v>2.73</v>
      </c>
      <c r="E984" s="327"/>
      <c r="F984" s="327">
        <v>1.1200000000000001</v>
      </c>
      <c r="G984" s="328">
        <f>D984*F984</f>
        <v>3.0576000000000003</v>
      </c>
      <c r="H984" s="328">
        <f t="shared" si="61"/>
        <v>6.1152000000000006</v>
      </c>
      <c r="I984" s="329" t="s">
        <v>2</v>
      </c>
    </row>
    <row r="985" spans="1:9" s="18" customFormat="1" x14ac:dyDescent="0.2">
      <c r="A985" s="265"/>
      <c r="B985" s="571"/>
      <c r="C985" s="327">
        <v>2</v>
      </c>
      <c r="D985" s="327"/>
      <c r="E985" s="327"/>
      <c r="F985" s="327" t="s">
        <v>173</v>
      </c>
      <c r="G985" s="328">
        <v>2.67</v>
      </c>
      <c r="H985" s="328">
        <f t="shared" si="61"/>
        <v>5.34</v>
      </c>
      <c r="I985" s="329" t="s">
        <v>2</v>
      </c>
    </row>
    <row r="986" spans="1:9" s="18" customFormat="1" x14ac:dyDescent="0.2">
      <c r="A986" s="265"/>
      <c r="B986" s="588" t="s">
        <v>56</v>
      </c>
      <c r="C986" s="327"/>
      <c r="D986" s="327"/>
      <c r="E986" s="327"/>
      <c r="F986" s="327"/>
      <c r="G986" s="328"/>
      <c r="H986" s="328"/>
      <c r="I986" s="329"/>
    </row>
    <row r="987" spans="1:9" s="18" customFormat="1" x14ac:dyDescent="0.2">
      <c r="A987" s="598"/>
      <c r="B987" s="593" t="s">
        <v>163</v>
      </c>
      <c r="C987" s="599">
        <v>1</v>
      </c>
      <c r="D987" s="599">
        <v>0.8</v>
      </c>
      <c r="E987" s="599"/>
      <c r="F987" s="599">
        <v>2</v>
      </c>
      <c r="G987" s="600">
        <f>D987*F987</f>
        <v>1.6</v>
      </c>
      <c r="H987" s="600">
        <f>G987*C987</f>
        <v>1.6</v>
      </c>
      <c r="I987" s="601" t="s">
        <v>2</v>
      </c>
    </row>
    <row r="988" spans="1:9" s="18" customFormat="1" x14ac:dyDescent="0.2">
      <c r="A988" s="265"/>
      <c r="B988" s="571" t="s">
        <v>61</v>
      </c>
      <c r="C988" s="327">
        <v>1</v>
      </c>
      <c r="D988" s="327">
        <v>2.79</v>
      </c>
      <c r="E988" s="327"/>
      <c r="F988" s="327">
        <v>0.45</v>
      </c>
      <c r="G988" s="328">
        <f t="shared" ref="G988:G989" si="62">D988*F988</f>
        <v>1.2555000000000001</v>
      </c>
      <c r="H988" s="328">
        <f t="shared" ref="H988:H989" si="63">G988*C988</f>
        <v>1.2555000000000001</v>
      </c>
      <c r="I988" s="329" t="s">
        <v>2</v>
      </c>
    </row>
    <row r="989" spans="1:9" s="18" customFormat="1" x14ac:dyDescent="0.2">
      <c r="A989" s="265"/>
      <c r="B989" s="571" t="s">
        <v>174</v>
      </c>
      <c r="C989" s="327">
        <v>1</v>
      </c>
      <c r="D989" s="327">
        <v>1.75</v>
      </c>
      <c r="E989" s="327"/>
      <c r="F989" s="327">
        <v>2.8</v>
      </c>
      <c r="G989" s="328">
        <f t="shared" si="62"/>
        <v>4.8999999999999995</v>
      </c>
      <c r="H989" s="328">
        <f t="shared" si="63"/>
        <v>4.8999999999999995</v>
      </c>
      <c r="I989" s="329" t="s">
        <v>2</v>
      </c>
    </row>
    <row r="990" spans="1:9" s="18" customFormat="1" x14ac:dyDescent="0.2">
      <c r="A990" s="265"/>
      <c r="B990" s="581" t="s">
        <v>175</v>
      </c>
      <c r="C990" s="365"/>
      <c r="D990" s="365"/>
      <c r="E990" s="365"/>
      <c r="F990" s="365"/>
      <c r="G990" s="382"/>
      <c r="H990" s="366"/>
      <c r="I990" s="367"/>
    </row>
    <row r="991" spans="1:9" s="18" customFormat="1" x14ac:dyDescent="0.2">
      <c r="A991" s="265"/>
      <c r="B991" s="588" t="s">
        <v>176</v>
      </c>
      <c r="C991" s="365"/>
      <c r="D991" s="365"/>
      <c r="E991" s="365"/>
      <c r="F991" s="365"/>
      <c r="G991" s="382"/>
      <c r="H991" s="366"/>
      <c r="I991" s="367"/>
    </row>
    <row r="992" spans="1:9" s="18" customFormat="1" x14ac:dyDescent="0.2">
      <c r="A992" s="265"/>
      <c r="B992" s="571" t="s">
        <v>163</v>
      </c>
      <c r="C992" s="327">
        <v>2</v>
      </c>
      <c r="D992" s="327">
        <v>1.2</v>
      </c>
      <c r="E992" s="327"/>
      <c r="F992" s="327">
        <v>2.1</v>
      </c>
      <c r="G992" s="328">
        <f>D992*F992</f>
        <v>2.52</v>
      </c>
      <c r="H992" s="328">
        <f>G992*C992</f>
        <v>5.04</v>
      </c>
      <c r="I992" s="329" t="s">
        <v>2</v>
      </c>
    </row>
    <row r="993" spans="1:9" s="18" customFormat="1" x14ac:dyDescent="0.2">
      <c r="A993" s="265"/>
      <c r="B993" s="571"/>
      <c r="C993" s="327">
        <v>2</v>
      </c>
      <c r="D993" s="327">
        <v>0.9</v>
      </c>
      <c r="E993" s="327"/>
      <c r="F993" s="327">
        <v>2.1</v>
      </c>
      <c r="G993" s="328">
        <f t="shared" ref="G993:G1003" si="64">D993*F993</f>
        <v>1.8900000000000001</v>
      </c>
      <c r="H993" s="328">
        <f t="shared" ref="H993:H1003" si="65">G993*C993</f>
        <v>3.7800000000000002</v>
      </c>
      <c r="I993" s="329" t="s">
        <v>2</v>
      </c>
    </row>
    <row r="994" spans="1:9" s="18" customFormat="1" x14ac:dyDescent="0.2">
      <c r="A994" s="265"/>
      <c r="B994" s="571"/>
      <c r="C994" s="327">
        <v>1</v>
      </c>
      <c r="D994" s="327">
        <v>0.8</v>
      </c>
      <c r="E994" s="327"/>
      <c r="F994" s="327">
        <v>2.1</v>
      </c>
      <c r="G994" s="328">
        <f t="shared" si="64"/>
        <v>1.6800000000000002</v>
      </c>
      <c r="H994" s="328">
        <f t="shared" si="65"/>
        <v>1.6800000000000002</v>
      </c>
      <c r="I994" s="329" t="s">
        <v>2</v>
      </c>
    </row>
    <row r="995" spans="1:9" s="18" customFormat="1" x14ac:dyDescent="0.2">
      <c r="A995" s="265"/>
      <c r="B995" s="571" t="s">
        <v>167</v>
      </c>
      <c r="C995" s="327">
        <v>1</v>
      </c>
      <c r="D995" s="327">
        <v>2.71</v>
      </c>
      <c r="E995" s="327"/>
      <c r="F995" s="327">
        <v>1.5</v>
      </c>
      <c r="G995" s="328">
        <f t="shared" si="64"/>
        <v>4.0649999999999995</v>
      </c>
      <c r="H995" s="328">
        <f t="shared" si="65"/>
        <v>4.0649999999999995</v>
      </c>
      <c r="I995" s="329" t="s">
        <v>2</v>
      </c>
    </row>
    <row r="996" spans="1:9" s="18" customFormat="1" x14ac:dyDescent="0.2">
      <c r="A996" s="265"/>
      <c r="B996" s="581"/>
      <c r="C996" s="327">
        <v>1</v>
      </c>
      <c r="D996" s="327">
        <v>1.1100000000000001</v>
      </c>
      <c r="E996" s="327"/>
      <c r="F996" s="327">
        <v>1.5</v>
      </c>
      <c r="G996" s="328">
        <f t="shared" si="64"/>
        <v>1.665</v>
      </c>
      <c r="H996" s="328">
        <f t="shared" si="65"/>
        <v>1.665</v>
      </c>
      <c r="I996" s="329" t="s">
        <v>2</v>
      </c>
    </row>
    <row r="997" spans="1:9" s="18" customFormat="1" x14ac:dyDescent="0.2">
      <c r="A997" s="265"/>
      <c r="B997" s="581"/>
      <c r="C997" s="327">
        <v>1</v>
      </c>
      <c r="D997" s="327">
        <v>3.05</v>
      </c>
      <c r="E997" s="327"/>
      <c r="F997" s="327">
        <v>1.5</v>
      </c>
      <c r="G997" s="328">
        <f t="shared" si="64"/>
        <v>4.5749999999999993</v>
      </c>
      <c r="H997" s="328">
        <f t="shared" si="65"/>
        <v>4.5749999999999993</v>
      </c>
      <c r="I997" s="329" t="s">
        <v>2</v>
      </c>
    </row>
    <row r="998" spans="1:9" s="18" customFormat="1" x14ac:dyDescent="0.2">
      <c r="A998" s="265"/>
      <c r="B998" s="581"/>
      <c r="C998" s="327">
        <v>2</v>
      </c>
      <c r="D998" s="327">
        <v>3.25</v>
      </c>
      <c r="E998" s="327"/>
      <c r="F998" s="327">
        <v>1.5</v>
      </c>
      <c r="G998" s="328">
        <f t="shared" si="64"/>
        <v>4.875</v>
      </c>
      <c r="H998" s="328">
        <f t="shared" si="65"/>
        <v>9.75</v>
      </c>
      <c r="I998" s="329" t="s">
        <v>2</v>
      </c>
    </row>
    <row r="999" spans="1:9" s="18" customFormat="1" x14ac:dyDescent="0.2">
      <c r="A999" s="265"/>
      <c r="B999" s="581"/>
      <c r="C999" s="327">
        <v>1</v>
      </c>
      <c r="D999" s="327">
        <v>3.07</v>
      </c>
      <c r="E999" s="327"/>
      <c r="F999" s="327">
        <v>0.5</v>
      </c>
      <c r="G999" s="328">
        <f t="shared" si="64"/>
        <v>1.5349999999999999</v>
      </c>
      <c r="H999" s="328">
        <f t="shared" si="65"/>
        <v>1.5349999999999999</v>
      </c>
      <c r="I999" s="329" t="s">
        <v>2</v>
      </c>
    </row>
    <row r="1000" spans="1:9" s="18" customFormat="1" x14ac:dyDescent="0.2">
      <c r="A1000" s="265"/>
      <c r="B1000" s="581"/>
      <c r="C1000" s="327">
        <v>2</v>
      </c>
      <c r="D1000" s="327">
        <v>3.25</v>
      </c>
      <c r="E1000" s="327"/>
      <c r="F1000" s="327">
        <v>0.5</v>
      </c>
      <c r="G1000" s="328">
        <f t="shared" si="64"/>
        <v>1.625</v>
      </c>
      <c r="H1000" s="328">
        <f t="shared" si="65"/>
        <v>3.25</v>
      </c>
      <c r="I1000" s="329" t="s">
        <v>2</v>
      </c>
    </row>
    <row r="1001" spans="1:9" s="18" customFormat="1" x14ac:dyDescent="0.2">
      <c r="A1001" s="265"/>
      <c r="B1001" s="581"/>
      <c r="C1001" s="327">
        <v>1</v>
      </c>
      <c r="D1001" s="327">
        <v>3.05</v>
      </c>
      <c r="E1001" s="327"/>
      <c r="F1001" s="327">
        <v>0.5</v>
      </c>
      <c r="G1001" s="328">
        <f t="shared" si="64"/>
        <v>1.5249999999999999</v>
      </c>
      <c r="H1001" s="328">
        <f t="shared" si="65"/>
        <v>1.5249999999999999</v>
      </c>
      <c r="I1001" s="329" t="s">
        <v>2</v>
      </c>
    </row>
    <row r="1002" spans="1:9" s="18" customFormat="1" x14ac:dyDescent="0.2">
      <c r="A1002" s="265"/>
      <c r="B1002" s="581"/>
      <c r="C1002" s="327">
        <v>2</v>
      </c>
      <c r="D1002" s="327">
        <v>2.71</v>
      </c>
      <c r="E1002" s="327"/>
      <c r="F1002" s="327">
        <v>0.5</v>
      </c>
      <c r="G1002" s="328">
        <f t="shared" si="64"/>
        <v>1.355</v>
      </c>
      <c r="H1002" s="328">
        <f t="shared" si="65"/>
        <v>2.71</v>
      </c>
      <c r="I1002" s="329" t="s">
        <v>2</v>
      </c>
    </row>
    <row r="1003" spans="1:9" s="18" customFormat="1" x14ac:dyDescent="0.2">
      <c r="A1003" s="265"/>
      <c r="B1003" s="581"/>
      <c r="C1003" s="327">
        <v>2</v>
      </c>
      <c r="D1003" s="327">
        <v>0.63</v>
      </c>
      <c r="E1003" s="327"/>
      <c r="F1003" s="327">
        <v>1.4</v>
      </c>
      <c r="G1003" s="328">
        <f t="shared" si="64"/>
        <v>0.8819999999999999</v>
      </c>
      <c r="H1003" s="328">
        <f t="shared" si="65"/>
        <v>1.7639999999999998</v>
      </c>
      <c r="I1003" s="329" t="s">
        <v>2</v>
      </c>
    </row>
    <row r="1004" spans="1:9" s="18" customFormat="1" x14ac:dyDescent="0.2">
      <c r="A1004" s="265"/>
      <c r="B1004" s="581" t="s">
        <v>177</v>
      </c>
      <c r="C1004" s="365"/>
      <c r="D1004" s="365"/>
      <c r="E1004" s="365"/>
      <c r="F1004" s="365"/>
      <c r="G1004" s="382"/>
      <c r="H1004" s="366"/>
      <c r="I1004" s="367"/>
    </row>
    <row r="1005" spans="1:9" s="18" customFormat="1" x14ac:dyDescent="0.2">
      <c r="A1005" s="265"/>
      <c r="B1005" s="588" t="s">
        <v>162</v>
      </c>
      <c r="C1005" s="365"/>
      <c r="D1005" s="365"/>
      <c r="E1005" s="365"/>
      <c r="F1005" s="365"/>
      <c r="G1005" s="382"/>
      <c r="H1005" s="366"/>
      <c r="I1005" s="367"/>
    </row>
    <row r="1006" spans="1:9" s="18" customFormat="1" x14ac:dyDescent="0.2">
      <c r="A1006" s="265"/>
      <c r="B1006" s="571" t="s">
        <v>163</v>
      </c>
      <c r="C1006" s="327">
        <v>2</v>
      </c>
      <c r="D1006" s="327">
        <v>1</v>
      </c>
      <c r="E1006" s="327"/>
      <c r="F1006" s="327">
        <v>2.1</v>
      </c>
      <c r="G1006" s="328">
        <f>D1006*F1006</f>
        <v>2.1</v>
      </c>
      <c r="H1006" s="328">
        <f>G1006*C1006</f>
        <v>4.2</v>
      </c>
      <c r="I1006" s="329" t="s">
        <v>2</v>
      </c>
    </row>
    <row r="1007" spans="1:9" s="18" customFormat="1" x14ac:dyDescent="0.2">
      <c r="A1007" s="265"/>
      <c r="B1007" s="571" t="s">
        <v>167</v>
      </c>
      <c r="C1007" s="327">
        <v>4</v>
      </c>
      <c r="D1007" s="327">
        <v>3.69</v>
      </c>
      <c r="E1007" s="327"/>
      <c r="F1007" s="327">
        <v>0.5</v>
      </c>
      <c r="G1007" s="328">
        <f t="shared" ref="G1007:G1015" si="66">D1007*F1007</f>
        <v>1.845</v>
      </c>
      <c r="H1007" s="328">
        <f t="shared" ref="H1007:H1015" si="67">G1007*C1007</f>
        <v>7.38</v>
      </c>
      <c r="I1007" s="329" t="s">
        <v>2</v>
      </c>
    </row>
    <row r="1008" spans="1:9" s="18" customFormat="1" x14ac:dyDescent="0.2">
      <c r="A1008" s="265"/>
      <c r="B1008" s="581" t="s">
        <v>178</v>
      </c>
      <c r="C1008" s="365"/>
      <c r="D1008" s="365"/>
      <c r="E1008" s="365"/>
      <c r="F1008" s="365"/>
      <c r="G1008" s="328"/>
      <c r="H1008" s="328"/>
      <c r="I1008" s="367"/>
    </row>
    <row r="1009" spans="1:10" s="18" customFormat="1" x14ac:dyDescent="0.2">
      <c r="A1009" s="380"/>
      <c r="B1009" s="588" t="s">
        <v>179</v>
      </c>
      <c r="C1009" s="365"/>
      <c r="D1009" s="365"/>
      <c r="E1009" s="365"/>
      <c r="F1009" s="365"/>
      <c r="G1009" s="328"/>
      <c r="H1009" s="328"/>
      <c r="I1009" s="367"/>
    </row>
    <row r="1010" spans="1:10" s="18" customFormat="1" x14ac:dyDescent="0.2">
      <c r="A1010" s="380"/>
      <c r="B1010" s="571" t="s">
        <v>163</v>
      </c>
      <c r="C1010" s="327">
        <v>2</v>
      </c>
      <c r="D1010" s="327">
        <v>1</v>
      </c>
      <c r="E1010" s="327"/>
      <c r="F1010" s="327">
        <v>2.1</v>
      </c>
      <c r="G1010" s="328">
        <f t="shared" si="66"/>
        <v>2.1</v>
      </c>
      <c r="H1010" s="328">
        <f t="shared" si="67"/>
        <v>4.2</v>
      </c>
      <c r="I1010" s="329" t="s">
        <v>2</v>
      </c>
    </row>
    <row r="1011" spans="1:10" s="18" customFormat="1" x14ac:dyDescent="0.2">
      <c r="A1011" s="380"/>
      <c r="B1011" s="571"/>
      <c r="C1011" s="327">
        <v>2</v>
      </c>
      <c r="D1011" s="327">
        <v>0.7</v>
      </c>
      <c r="E1011" s="327"/>
      <c r="F1011" s="327">
        <v>1.5</v>
      </c>
      <c r="G1011" s="328">
        <f t="shared" si="66"/>
        <v>1.0499999999999998</v>
      </c>
      <c r="H1011" s="328">
        <f t="shared" si="67"/>
        <v>2.0999999999999996</v>
      </c>
      <c r="I1011" s="329" t="s">
        <v>2</v>
      </c>
    </row>
    <row r="1012" spans="1:10" s="18" customFormat="1" x14ac:dyDescent="0.2">
      <c r="A1012" s="380"/>
      <c r="B1012" s="571" t="s">
        <v>167</v>
      </c>
      <c r="C1012" s="327">
        <v>2</v>
      </c>
      <c r="D1012" s="327">
        <v>1.56</v>
      </c>
      <c r="E1012" s="327"/>
      <c r="F1012" s="327">
        <v>0.5</v>
      </c>
      <c r="G1012" s="328">
        <f t="shared" si="66"/>
        <v>0.78</v>
      </c>
      <c r="H1012" s="328">
        <f t="shared" si="67"/>
        <v>1.56</v>
      </c>
      <c r="I1012" s="329" t="s">
        <v>2</v>
      </c>
    </row>
    <row r="1013" spans="1:10" s="18" customFormat="1" x14ac:dyDescent="0.2">
      <c r="A1013" s="380"/>
      <c r="B1013" s="533"/>
      <c r="C1013" s="327">
        <v>2</v>
      </c>
      <c r="D1013" s="327">
        <v>1.5</v>
      </c>
      <c r="E1013" s="327"/>
      <c r="F1013" s="327">
        <v>0.5</v>
      </c>
      <c r="G1013" s="328">
        <f t="shared" si="66"/>
        <v>0.75</v>
      </c>
      <c r="H1013" s="328">
        <f t="shared" si="67"/>
        <v>1.5</v>
      </c>
      <c r="I1013" s="329" t="s">
        <v>2</v>
      </c>
    </row>
    <row r="1014" spans="1:10" s="18" customFormat="1" x14ac:dyDescent="0.2">
      <c r="A1014" s="380"/>
      <c r="B1014" s="533"/>
      <c r="C1014" s="327">
        <v>1</v>
      </c>
      <c r="D1014" s="327">
        <v>1.18</v>
      </c>
      <c r="E1014" s="327"/>
      <c r="F1014" s="327">
        <v>0.5</v>
      </c>
      <c r="G1014" s="328">
        <f t="shared" si="66"/>
        <v>0.59</v>
      </c>
      <c r="H1014" s="328">
        <f t="shared" si="67"/>
        <v>0.59</v>
      </c>
      <c r="I1014" s="329" t="s">
        <v>2</v>
      </c>
    </row>
    <row r="1015" spans="1:10" s="18" customFormat="1" x14ac:dyDescent="0.2">
      <c r="A1015" s="380"/>
      <c r="B1015" s="533"/>
      <c r="C1015" s="327">
        <v>1</v>
      </c>
      <c r="D1015" s="327">
        <v>1.25</v>
      </c>
      <c r="E1015" s="327"/>
      <c r="F1015" s="327">
        <v>0.5</v>
      </c>
      <c r="G1015" s="328">
        <f t="shared" si="66"/>
        <v>0.625</v>
      </c>
      <c r="H1015" s="328">
        <f t="shared" si="67"/>
        <v>0.625</v>
      </c>
      <c r="I1015" s="329" t="s">
        <v>2</v>
      </c>
    </row>
    <row r="1016" spans="1:10" s="18" customFormat="1" x14ac:dyDescent="0.2">
      <c r="A1016" s="380"/>
      <c r="B1016" s="581" t="s">
        <v>180</v>
      </c>
      <c r="C1016" s="254"/>
      <c r="D1016" s="258"/>
      <c r="E1016" s="258"/>
      <c r="F1016" s="327"/>
      <c r="G1016" s="266"/>
      <c r="H1016" s="257"/>
      <c r="I1016" s="388"/>
    </row>
    <row r="1017" spans="1:10" s="18" customFormat="1" x14ac:dyDescent="0.2">
      <c r="A1017" s="380"/>
      <c r="B1017" s="588" t="s">
        <v>162</v>
      </c>
      <c r="C1017" s="254"/>
      <c r="D1017" s="258"/>
      <c r="E1017" s="258"/>
      <c r="F1017" s="327"/>
      <c r="G1017" s="266"/>
      <c r="H1017" s="257"/>
      <c r="I1017" s="388"/>
    </row>
    <row r="1018" spans="1:10" s="18" customFormat="1" x14ac:dyDescent="0.2">
      <c r="A1018" s="380"/>
      <c r="B1018" s="571" t="s">
        <v>163</v>
      </c>
      <c r="C1018" s="327">
        <v>6</v>
      </c>
      <c r="D1018" s="327">
        <v>0.95</v>
      </c>
      <c r="E1018" s="327"/>
      <c r="F1018" s="327">
        <v>2.1</v>
      </c>
      <c r="G1018" s="328">
        <f>D1018*F1018</f>
        <v>1.9949999999999999</v>
      </c>
      <c r="H1018" s="328">
        <f>G1018*C1018</f>
        <v>11.969999999999999</v>
      </c>
      <c r="I1018" s="329" t="s">
        <v>2</v>
      </c>
      <c r="J1018" s="62">
        <f>H1018+H1019+H1020</f>
        <v>46.666799999999995</v>
      </c>
    </row>
    <row r="1019" spans="1:10" s="18" customFormat="1" x14ac:dyDescent="0.2">
      <c r="A1019" s="380"/>
      <c r="B1019" s="571" t="s">
        <v>167</v>
      </c>
      <c r="C1019" s="327">
        <v>12</v>
      </c>
      <c r="D1019" s="327">
        <v>1.22</v>
      </c>
      <c r="E1019" s="327"/>
      <c r="F1019" s="327">
        <v>0.8</v>
      </c>
      <c r="G1019" s="328">
        <f t="shared" ref="G1019:G1077" si="68">D1019*F1019</f>
        <v>0.97599999999999998</v>
      </c>
      <c r="H1019" s="328">
        <f t="shared" ref="H1019:H1077" si="69">G1019*C1019</f>
        <v>11.712</v>
      </c>
      <c r="I1019" s="329" t="s">
        <v>2</v>
      </c>
    </row>
    <row r="1020" spans="1:10" s="18" customFormat="1" x14ac:dyDescent="0.2">
      <c r="A1020" s="380"/>
      <c r="B1020" s="533"/>
      <c r="C1020" s="327">
        <v>12</v>
      </c>
      <c r="D1020" s="327">
        <v>1.22</v>
      </c>
      <c r="E1020" s="327"/>
      <c r="F1020" s="327">
        <v>1.57</v>
      </c>
      <c r="G1020" s="328">
        <f t="shared" si="68"/>
        <v>1.9154</v>
      </c>
      <c r="H1020" s="328">
        <f t="shared" si="69"/>
        <v>22.9848</v>
      </c>
      <c r="I1020" s="329" t="s">
        <v>2</v>
      </c>
    </row>
    <row r="1021" spans="1:10" s="18" customFormat="1" x14ac:dyDescent="0.2">
      <c r="A1021" s="380"/>
      <c r="B1021" s="581" t="s">
        <v>181</v>
      </c>
      <c r="C1021" s="254"/>
      <c r="D1021" s="258"/>
      <c r="E1021" s="258"/>
      <c r="F1021" s="327"/>
      <c r="G1021" s="328"/>
      <c r="H1021" s="328"/>
      <c r="I1021" s="388"/>
    </row>
    <row r="1022" spans="1:10" s="18" customFormat="1" x14ac:dyDescent="0.2">
      <c r="A1022" s="380"/>
      <c r="B1022" s="588" t="s">
        <v>162</v>
      </c>
      <c r="C1022" s="254"/>
      <c r="D1022" s="258"/>
      <c r="E1022" s="258"/>
      <c r="F1022" s="327"/>
      <c r="G1022" s="328"/>
      <c r="H1022" s="328"/>
      <c r="I1022" s="388"/>
    </row>
    <row r="1023" spans="1:10" s="18" customFormat="1" x14ac:dyDescent="0.2">
      <c r="A1023" s="380"/>
      <c r="B1023" s="571" t="s">
        <v>174</v>
      </c>
      <c r="C1023" s="327">
        <v>2</v>
      </c>
      <c r="D1023" s="327">
        <v>0.9</v>
      </c>
      <c r="E1023" s="327"/>
      <c r="F1023" s="327">
        <v>2.86</v>
      </c>
      <c r="G1023" s="328">
        <f t="shared" si="68"/>
        <v>2.5739999999999998</v>
      </c>
      <c r="H1023" s="328">
        <f t="shared" si="69"/>
        <v>5.1479999999999997</v>
      </c>
      <c r="I1023" s="329" t="s">
        <v>2</v>
      </c>
    </row>
    <row r="1024" spans="1:10" s="18" customFormat="1" x14ac:dyDescent="0.2">
      <c r="A1024" s="380"/>
      <c r="B1024" s="533"/>
      <c r="C1024" s="327">
        <v>1</v>
      </c>
      <c r="D1024" s="327">
        <v>1</v>
      </c>
      <c r="E1024" s="327"/>
      <c r="F1024" s="327">
        <v>2.86</v>
      </c>
      <c r="G1024" s="328">
        <f t="shared" si="68"/>
        <v>2.86</v>
      </c>
      <c r="H1024" s="328">
        <f t="shared" si="69"/>
        <v>2.86</v>
      </c>
      <c r="I1024" s="329" t="s">
        <v>2</v>
      </c>
    </row>
    <row r="1025" spans="1:9" s="18" customFormat="1" x14ac:dyDescent="0.2">
      <c r="A1025" s="380"/>
      <c r="B1025" s="533"/>
      <c r="C1025" s="327">
        <v>1</v>
      </c>
      <c r="D1025" s="327">
        <v>2.27</v>
      </c>
      <c r="E1025" s="327"/>
      <c r="F1025" s="327">
        <v>2.86</v>
      </c>
      <c r="G1025" s="328">
        <f t="shared" si="68"/>
        <v>6.4921999999999995</v>
      </c>
      <c r="H1025" s="328">
        <f t="shared" si="69"/>
        <v>6.4921999999999995</v>
      </c>
      <c r="I1025" s="329" t="s">
        <v>2</v>
      </c>
    </row>
    <row r="1026" spans="1:9" s="18" customFormat="1" x14ac:dyDescent="0.2">
      <c r="A1026" s="380"/>
      <c r="B1026" s="571" t="s">
        <v>167</v>
      </c>
      <c r="C1026" s="327">
        <v>2</v>
      </c>
      <c r="D1026" s="327">
        <v>1.64</v>
      </c>
      <c r="E1026" s="327"/>
      <c r="F1026" s="327">
        <v>1.31</v>
      </c>
      <c r="G1026" s="328">
        <f t="shared" si="68"/>
        <v>2.1484000000000001</v>
      </c>
      <c r="H1026" s="328">
        <f t="shared" si="69"/>
        <v>4.2968000000000002</v>
      </c>
      <c r="I1026" s="329" t="s">
        <v>2</v>
      </c>
    </row>
    <row r="1027" spans="1:9" s="18" customFormat="1" x14ac:dyDescent="0.2">
      <c r="A1027" s="380"/>
      <c r="B1027" s="533"/>
      <c r="C1027" s="327">
        <v>1</v>
      </c>
      <c r="D1027" s="327">
        <v>2.8</v>
      </c>
      <c r="E1027" s="327"/>
      <c r="F1027" s="327">
        <v>1.31</v>
      </c>
      <c r="G1027" s="328">
        <f t="shared" si="68"/>
        <v>3.6679999999999997</v>
      </c>
      <c r="H1027" s="328">
        <f t="shared" si="69"/>
        <v>3.6679999999999997</v>
      </c>
      <c r="I1027" s="329" t="s">
        <v>2</v>
      </c>
    </row>
    <row r="1028" spans="1:9" s="18" customFormat="1" x14ac:dyDescent="0.2">
      <c r="A1028" s="380"/>
      <c r="B1028" s="533"/>
      <c r="C1028" s="327">
        <v>1</v>
      </c>
      <c r="D1028" s="327">
        <v>2.4</v>
      </c>
      <c r="E1028" s="327"/>
      <c r="F1028" s="327">
        <v>1.31</v>
      </c>
      <c r="G1028" s="328">
        <f t="shared" si="68"/>
        <v>3.1440000000000001</v>
      </c>
      <c r="H1028" s="328">
        <f t="shared" si="69"/>
        <v>3.1440000000000001</v>
      </c>
      <c r="I1028" s="329" t="s">
        <v>2</v>
      </c>
    </row>
    <row r="1029" spans="1:9" s="18" customFormat="1" x14ac:dyDescent="0.2">
      <c r="A1029" s="380"/>
      <c r="B1029" s="533"/>
      <c r="C1029" s="327">
        <v>1</v>
      </c>
      <c r="D1029" s="327">
        <v>2.5499999999999998</v>
      </c>
      <c r="E1029" s="327"/>
      <c r="F1029" s="327">
        <v>0.5</v>
      </c>
      <c r="G1029" s="328">
        <f t="shared" si="68"/>
        <v>1.2749999999999999</v>
      </c>
      <c r="H1029" s="328">
        <f t="shared" si="69"/>
        <v>1.2749999999999999</v>
      </c>
      <c r="I1029" s="329" t="s">
        <v>2</v>
      </c>
    </row>
    <row r="1030" spans="1:9" s="18" customFormat="1" x14ac:dyDescent="0.2">
      <c r="A1030" s="380"/>
      <c r="B1030" s="533"/>
      <c r="C1030" s="327">
        <v>2</v>
      </c>
      <c r="D1030" s="327">
        <v>2.8</v>
      </c>
      <c r="E1030" s="327"/>
      <c r="F1030" s="327">
        <v>0.5</v>
      </c>
      <c r="G1030" s="328">
        <f t="shared" si="68"/>
        <v>1.4</v>
      </c>
      <c r="H1030" s="328">
        <f t="shared" si="69"/>
        <v>2.8</v>
      </c>
      <c r="I1030" s="329" t="s">
        <v>2</v>
      </c>
    </row>
    <row r="1031" spans="1:9" s="18" customFormat="1" x14ac:dyDescent="0.2">
      <c r="A1031" s="380"/>
      <c r="B1031" s="533"/>
      <c r="C1031" s="327">
        <v>9</v>
      </c>
      <c r="D1031" s="327">
        <v>1.98</v>
      </c>
      <c r="E1031" s="327"/>
      <c r="F1031" s="327">
        <v>1.3</v>
      </c>
      <c r="G1031" s="328">
        <f t="shared" si="68"/>
        <v>2.5739999999999998</v>
      </c>
      <c r="H1031" s="328">
        <f t="shared" si="69"/>
        <v>23.165999999999997</v>
      </c>
      <c r="I1031" s="329" t="s">
        <v>2</v>
      </c>
    </row>
    <row r="1032" spans="1:9" s="18" customFormat="1" x14ac:dyDescent="0.2">
      <c r="A1032" s="380"/>
      <c r="B1032" s="581" t="s">
        <v>182</v>
      </c>
      <c r="C1032" s="254"/>
      <c r="D1032" s="258"/>
      <c r="E1032" s="258"/>
      <c r="F1032" s="327"/>
      <c r="G1032" s="328"/>
      <c r="H1032" s="328"/>
      <c r="I1032" s="388"/>
    </row>
    <row r="1033" spans="1:9" s="18" customFormat="1" x14ac:dyDescent="0.2">
      <c r="A1033" s="380"/>
      <c r="B1033" s="588" t="s">
        <v>162</v>
      </c>
      <c r="C1033" s="254"/>
      <c r="D1033" s="258"/>
      <c r="E1033" s="258"/>
      <c r="F1033" s="327"/>
      <c r="G1033" s="328"/>
      <c r="H1033" s="328"/>
      <c r="I1033" s="388"/>
    </row>
    <row r="1034" spans="1:9" s="18" customFormat="1" x14ac:dyDescent="0.2">
      <c r="A1034" s="380"/>
      <c r="B1034" s="571" t="s">
        <v>163</v>
      </c>
      <c r="C1034" s="327">
        <v>7</v>
      </c>
      <c r="D1034" s="327">
        <v>1</v>
      </c>
      <c r="E1034" s="327"/>
      <c r="F1034" s="327">
        <v>2.29</v>
      </c>
      <c r="G1034" s="328">
        <f t="shared" si="68"/>
        <v>2.29</v>
      </c>
      <c r="H1034" s="328">
        <f t="shared" si="69"/>
        <v>16.03</v>
      </c>
      <c r="I1034" s="329" t="s">
        <v>2</v>
      </c>
    </row>
    <row r="1035" spans="1:9" s="18" customFormat="1" x14ac:dyDescent="0.2">
      <c r="A1035" s="380"/>
      <c r="B1035" s="571" t="s">
        <v>167</v>
      </c>
      <c r="C1035" s="327">
        <v>6</v>
      </c>
      <c r="D1035" s="327">
        <v>1.9</v>
      </c>
      <c r="E1035" s="327"/>
      <c r="F1035" s="327">
        <v>1.5</v>
      </c>
      <c r="G1035" s="328">
        <f t="shared" si="68"/>
        <v>2.8499999999999996</v>
      </c>
      <c r="H1035" s="328">
        <f t="shared" si="69"/>
        <v>17.099999999999998</v>
      </c>
      <c r="I1035" s="329" t="s">
        <v>2</v>
      </c>
    </row>
    <row r="1036" spans="1:9" s="18" customFormat="1" x14ac:dyDescent="0.2">
      <c r="A1036" s="380"/>
      <c r="B1036" s="533"/>
      <c r="C1036" s="327">
        <v>6</v>
      </c>
      <c r="D1036" s="327">
        <v>3.9</v>
      </c>
      <c r="E1036" s="327"/>
      <c r="F1036" s="327">
        <v>1.5</v>
      </c>
      <c r="G1036" s="328">
        <f t="shared" si="68"/>
        <v>5.85</v>
      </c>
      <c r="H1036" s="328">
        <f t="shared" si="69"/>
        <v>35.099999999999994</v>
      </c>
      <c r="I1036" s="329" t="s">
        <v>2</v>
      </c>
    </row>
    <row r="1037" spans="1:9" s="18" customFormat="1" x14ac:dyDescent="0.2">
      <c r="A1037" s="380"/>
      <c r="B1037" s="533"/>
      <c r="C1037" s="327">
        <v>1</v>
      </c>
      <c r="D1037" s="327">
        <v>1.5</v>
      </c>
      <c r="E1037" s="327"/>
      <c r="F1037" s="327">
        <v>1.5</v>
      </c>
      <c r="G1037" s="328">
        <f t="shared" si="68"/>
        <v>2.25</v>
      </c>
      <c r="H1037" s="328">
        <f t="shared" si="69"/>
        <v>2.25</v>
      </c>
      <c r="I1037" s="329" t="s">
        <v>2</v>
      </c>
    </row>
    <row r="1038" spans="1:9" s="18" customFormat="1" x14ac:dyDescent="0.2">
      <c r="A1038" s="380"/>
      <c r="B1038" s="533"/>
      <c r="C1038" s="327">
        <v>7</v>
      </c>
      <c r="D1038" s="327">
        <v>3.9</v>
      </c>
      <c r="E1038" s="327"/>
      <c r="F1038" s="327">
        <v>0.5</v>
      </c>
      <c r="G1038" s="328">
        <f t="shared" si="68"/>
        <v>1.95</v>
      </c>
      <c r="H1038" s="328">
        <f t="shared" si="69"/>
        <v>13.65</v>
      </c>
      <c r="I1038" s="329" t="s">
        <v>2</v>
      </c>
    </row>
    <row r="1039" spans="1:9" s="18" customFormat="1" x14ac:dyDescent="0.2">
      <c r="A1039" s="380"/>
      <c r="B1039" s="533"/>
      <c r="C1039" s="327">
        <v>1</v>
      </c>
      <c r="D1039" s="327">
        <v>1.35</v>
      </c>
      <c r="E1039" s="327"/>
      <c r="F1039" s="327">
        <v>0.5</v>
      </c>
      <c r="G1039" s="328">
        <f t="shared" si="68"/>
        <v>0.67500000000000004</v>
      </c>
      <c r="H1039" s="328">
        <f t="shared" si="69"/>
        <v>0.67500000000000004</v>
      </c>
      <c r="I1039" s="329" t="s">
        <v>2</v>
      </c>
    </row>
    <row r="1040" spans="1:9" s="18" customFormat="1" x14ac:dyDescent="0.2">
      <c r="A1040" s="380"/>
      <c r="B1040" s="533"/>
      <c r="C1040" s="327">
        <v>1</v>
      </c>
      <c r="D1040" s="327">
        <v>2.5499999999999998</v>
      </c>
      <c r="E1040" s="327"/>
      <c r="F1040" s="327">
        <v>0.5</v>
      </c>
      <c r="G1040" s="328">
        <f t="shared" si="68"/>
        <v>1.2749999999999999</v>
      </c>
      <c r="H1040" s="328">
        <f t="shared" si="69"/>
        <v>1.2749999999999999</v>
      </c>
      <c r="I1040" s="329" t="s">
        <v>2</v>
      </c>
    </row>
    <row r="1041" spans="1:9" s="18" customFormat="1" x14ac:dyDescent="0.2">
      <c r="A1041" s="380"/>
      <c r="B1041" s="533"/>
      <c r="C1041" s="327">
        <v>1</v>
      </c>
      <c r="D1041" s="327">
        <v>4.04</v>
      </c>
      <c r="E1041" s="327"/>
      <c r="F1041" s="327">
        <v>0.5</v>
      </c>
      <c r="G1041" s="328">
        <f t="shared" si="68"/>
        <v>2.02</v>
      </c>
      <c r="H1041" s="328">
        <f t="shared" si="69"/>
        <v>2.02</v>
      </c>
      <c r="I1041" s="329" t="s">
        <v>2</v>
      </c>
    </row>
    <row r="1042" spans="1:9" s="18" customFormat="1" x14ac:dyDescent="0.2">
      <c r="A1042" s="380"/>
      <c r="B1042" s="533"/>
      <c r="C1042" s="327">
        <v>1</v>
      </c>
      <c r="D1042" s="327">
        <v>3.89</v>
      </c>
      <c r="E1042" s="327"/>
      <c r="F1042" s="327">
        <v>0.5</v>
      </c>
      <c r="G1042" s="328">
        <f t="shared" si="68"/>
        <v>1.9450000000000001</v>
      </c>
      <c r="H1042" s="328">
        <f t="shared" si="69"/>
        <v>1.9450000000000001</v>
      </c>
      <c r="I1042" s="329" t="s">
        <v>2</v>
      </c>
    </row>
    <row r="1043" spans="1:9" s="18" customFormat="1" x14ac:dyDescent="0.2">
      <c r="A1043" s="380"/>
      <c r="B1043" s="581" t="s">
        <v>183</v>
      </c>
      <c r="C1043" s="254"/>
      <c r="D1043" s="258"/>
      <c r="E1043" s="258"/>
      <c r="F1043" s="327"/>
      <c r="G1043" s="328"/>
      <c r="H1043" s="328"/>
      <c r="I1043" s="388"/>
    </row>
    <row r="1044" spans="1:9" s="18" customFormat="1" x14ac:dyDescent="0.2">
      <c r="A1044" s="380"/>
      <c r="B1044" s="588" t="s">
        <v>162</v>
      </c>
      <c r="C1044" s="254"/>
      <c r="D1044" s="258"/>
      <c r="E1044" s="258"/>
      <c r="F1044" s="327"/>
      <c r="G1044" s="328"/>
      <c r="H1044" s="328"/>
      <c r="I1044" s="388"/>
    </row>
    <row r="1045" spans="1:9" s="18" customFormat="1" x14ac:dyDescent="0.2">
      <c r="A1045" s="380"/>
      <c r="B1045" s="571" t="s">
        <v>163</v>
      </c>
      <c r="C1045" s="327">
        <v>2</v>
      </c>
      <c r="D1045" s="327">
        <v>1</v>
      </c>
      <c r="E1045" s="327"/>
      <c r="F1045" s="327">
        <v>2.1</v>
      </c>
      <c r="G1045" s="328">
        <f t="shared" si="68"/>
        <v>2.1</v>
      </c>
      <c r="H1045" s="328">
        <f t="shared" si="69"/>
        <v>4.2</v>
      </c>
      <c r="I1045" s="329" t="s">
        <v>2</v>
      </c>
    </row>
    <row r="1046" spans="1:9" s="18" customFormat="1" x14ac:dyDescent="0.2">
      <c r="A1046" s="380"/>
      <c r="B1046" s="571" t="s">
        <v>167</v>
      </c>
      <c r="C1046" s="327">
        <v>2</v>
      </c>
      <c r="D1046" s="327">
        <v>1.6</v>
      </c>
      <c r="E1046" s="327"/>
      <c r="F1046" s="327">
        <v>1.5</v>
      </c>
      <c r="G1046" s="328">
        <f t="shared" si="68"/>
        <v>2.4000000000000004</v>
      </c>
      <c r="H1046" s="328">
        <f t="shared" si="69"/>
        <v>4.8000000000000007</v>
      </c>
      <c r="I1046" s="329" t="s">
        <v>2</v>
      </c>
    </row>
    <row r="1047" spans="1:9" s="18" customFormat="1" x14ac:dyDescent="0.2">
      <c r="A1047" s="380"/>
      <c r="B1047" s="533"/>
      <c r="C1047" s="327">
        <v>2</v>
      </c>
      <c r="D1047" s="327">
        <v>1.79</v>
      </c>
      <c r="E1047" s="327"/>
      <c r="F1047" s="327">
        <v>1.5</v>
      </c>
      <c r="G1047" s="328">
        <f t="shared" si="68"/>
        <v>2.6850000000000001</v>
      </c>
      <c r="H1047" s="328">
        <f t="shared" si="69"/>
        <v>5.37</v>
      </c>
      <c r="I1047" s="329" t="s">
        <v>2</v>
      </c>
    </row>
    <row r="1048" spans="1:9" s="18" customFormat="1" x14ac:dyDescent="0.2">
      <c r="A1048" s="380"/>
      <c r="B1048" s="533"/>
      <c r="C1048" s="327">
        <v>2</v>
      </c>
      <c r="D1048" s="327">
        <v>1.68</v>
      </c>
      <c r="E1048" s="327"/>
      <c r="F1048" s="327">
        <v>1.5</v>
      </c>
      <c r="G1048" s="328">
        <f t="shared" si="68"/>
        <v>2.52</v>
      </c>
      <c r="H1048" s="328">
        <f t="shared" si="69"/>
        <v>5.04</v>
      </c>
      <c r="I1048" s="329" t="s">
        <v>2</v>
      </c>
    </row>
    <row r="1049" spans="1:9" s="18" customFormat="1" x14ac:dyDescent="0.2">
      <c r="A1049" s="380"/>
      <c r="B1049" s="533"/>
      <c r="C1049" s="327">
        <v>2</v>
      </c>
      <c r="D1049" s="327">
        <v>1.75</v>
      </c>
      <c r="E1049" s="327"/>
      <c r="F1049" s="327">
        <v>0.5</v>
      </c>
      <c r="G1049" s="328">
        <f t="shared" si="68"/>
        <v>0.875</v>
      </c>
      <c r="H1049" s="328">
        <f t="shared" si="69"/>
        <v>1.75</v>
      </c>
      <c r="I1049" s="329" t="s">
        <v>2</v>
      </c>
    </row>
    <row r="1050" spans="1:9" s="18" customFormat="1" x14ac:dyDescent="0.2">
      <c r="A1050" s="380"/>
      <c r="B1050" s="533"/>
      <c r="C1050" s="327">
        <v>1</v>
      </c>
      <c r="D1050" s="327">
        <v>1.72</v>
      </c>
      <c r="E1050" s="327"/>
      <c r="F1050" s="327">
        <v>0.5</v>
      </c>
      <c r="G1050" s="328">
        <f t="shared" si="68"/>
        <v>0.86</v>
      </c>
      <c r="H1050" s="328">
        <f t="shared" si="69"/>
        <v>0.86</v>
      </c>
      <c r="I1050" s="329" t="s">
        <v>2</v>
      </c>
    </row>
    <row r="1051" spans="1:9" s="18" customFormat="1" x14ac:dyDescent="0.2">
      <c r="A1051" s="380"/>
      <c r="B1051" s="533"/>
      <c r="C1051" s="327">
        <v>2</v>
      </c>
      <c r="D1051" s="327">
        <v>1.67</v>
      </c>
      <c r="E1051" s="327"/>
      <c r="F1051" s="327">
        <v>0.5</v>
      </c>
      <c r="G1051" s="328">
        <f t="shared" si="68"/>
        <v>0.83499999999999996</v>
      </c>
      <c r="H1051" s="328">
        <f t="shared" si="69"/>
        <v>1.67</v>
      </c>
      <c r="I1051" s="329" t="s">
        <v>2</v>
      </c>
    </row>
    <row r="1052" spans="1:9" s="18" customFormat="1" x14ac:dyDescent="0.2">
      <c r="A1052" s="380"/>
      <c r="B1052" s="533"/>
      <c r="C1052" s="327">
        <v>3</v>
      </c>
      <c r="D1052" s="327">
        <v>1.8</v>
      </c>
      <c r="E1052" s="327"/>
      <c r="F1052" s="327">
        <v>0.5</v>
      </c>
      <c r="G1052" s="328">
        <f t="shared" si="68"/>
        <v>0.9</v>
      </c>
      <c r="H1052" s="328">
        <f t="shared" si="69"/>
        <v>2.7</v>
      </c>
      <c r="I1052" s="329" t="s">
        <v>2</v>
      </c>
    </row>
    <row r="1053" spans="1:9" s="18" customFormat="1" x14ac:dyDescent="0.2">
      <c r="A1053" s="380"/>
      <c r="B1053" s="581" t="s">
        <v>184</v>
      </c>
      <c r="C1053" s="254"/>
      <c r="D1053" s="258"/>
      <c r="E1053" s="258"/>
      <c r="F1053" s="327"/>
      <c r="G1053" s="328"/>
      <c r="H1053" s="328"/>
      <c r="I1053" s="388"/>
    </row>
    <row r="1054" spans="1:9" s="18" customFormat="1" x14ac:dyDescent="0.2">
      <c r="A1054" s="380"/>
      <c r="B1054" s="588" t="s">
        <v>185</v>
      </c>
      <c r="C1054" s="254"/>
      <c r="D1054" s="258"/>
      <c r="E1054" s="258"/>
      <c r="F1054" s="327"/>
      <c r="G1054" s="328"/>
      <c r="H1054" s="328"/>
      <c r="I1054" s="388"/>
    </row>
    <row r="1055" spans="1:9" s="18" customFormat="1" x14ac:dyDescent="0.2">
      <c r="A1055" s="380"/>
      <c r="B1055" s="571" t="s">
        <v>163</v>
      </c>
      <c r="C1055" s="327">
        <v>1</v>
      </c>
      <c r="D1055" s="327">
        <v>1</v>
      </c>
      <c r="E1055" s="327"/>
      <c r="F1055" s="327">
        <v>2.1</v>
      </c>
      <c r="G1055" s="328">
        <f t="shared" si="68"/>
        <v>2.1</v>
      </c>
      <c r="H1055" s="328">
        <f t="shared" si="69"/>
        <v>2.1</v>
      </c>
      <c r="I1055" s="329" t="s">
        <v>2</v>
      </c>
    </row>
    <row r="1056" spans="1:9" s="18" customFormat="1" x14ac:dyDescent="0.2">
      <c r="A1056" s="380"/>
      <c r="B1056" s="533"/>
      <c r="C1056" s="327">
        <v>1</v>
      </c>
      <c r="D1056" s="327">
        <v>1.6</v>
      </c>
      <c r="E1056" s="327"/>
      <c r="F1056" s="327">
        <v>2.1</v>
      </c>
      <c r="G1056" s="328">
        <f t="shared" si="68"/>
        <v>3.3600000000000003</v>
      </c>
      <c r="H1056" s="328">
        <f t="shared" si="69"/>
        <v>3.3600000000000003</v>
      </c>
      <c r="I1056" s="329" t="s">
        <v>2</v>
      </c>
    </row>
    <row r="1057" spans="1:9" s="18" customFormat="1" x14ac:dyDescent="0.2">
      <c r="A1057" s="380"/>
      <c r="B1057" s="571" t="s">
        <v>174</v>
      </c>
      <c r="C1057" s="327">
        <v>1</v>
      </c>
      <c r="D1057" s="327">
        <v>1.75</v>
      </c>
      <c r="E1057" s="327"/>
      <c r="F1057" s="327">
        <v>2.2000000000000002</v>
      </c>
      <c r="G1057" s="328">
        <f t="shared" si="68"/>
        <v>3.8500000000000005</v>
      </c>
      <c r="H1057" s="328">
        <f t="shared" si="69"/>
        <v>3.8500000000000005</v>
      </c>
      <c r="I1057" s="329" t="s">
        <v>2</v>
      </c>
    </row>
    <row r="1058" spans="1:9" s="18" customFormat="1" x14ac:dyDescent="0.2">
      <c r="A1058" s="380"/>
      <c r="B1058" s="581" t="s">
        <v>186</v>
      </c>
      <c r="C1058" s="254"/>
      <c r="D1058" s="258"/>
      <c r="E1058" s="258"/>
      <c r="F1058" s="327"/>
      <c r="G1058" s="328"/>
      <c r="H1058" s="328"/>
      <c r="I1058" s="388"/>
    </row>
    <row r="1059" spans="1:9" s="18" customFormat="1" x14ac:dyDescent="0.2">
      <c r="A1059" s="380"/>
      <c r="B1059" s="588" t="s">
        <v>187</v>
      </c>
      <c r="C1059" s="254"/>
      <c r="D1059" s="258"/>
      <c r="E1059" s="258"/>
      <c r="F1059" s="327"/>
      <c r="G1059" s="328"/>
      <c r="H1059" s="328"/>
      <c r="I1059" s="388"/>
    </row>
    <row r="1060" spans="1:9" s="18" customFormat="1" x14ac:dyDescent="0.2">
      <c r="A1060" s="380"/>
      <c r="B1060" s="571" t="s">
        <v>163</v>
      </c>
      <c r="C1060" s="327">
        <v>10</v>
      </c>
      <c r="D1060" s="327">
        <v>0.9</v>
      </c>
      <c r="E1060" s="327"/>
      <c r="F1060" s="327">
        <v>2.1</v>
      </c>
      <c r="G1060" s="328">
        <f t="shared" si="68"/>
        <v>1.8900000000000001</v>
      </c>
      <c r="H1060" s="328">
        <f t="shared" si="69"/>
        <v>18.900000000000002</v>
      </c>
      <c r="I1060" s="329" t="s">
        <v>2</v>
      </c>
    </row>
    <row r="1061" spans="1:9" s="18" customFormat="1" x14ac:dyDescent="0.2">
      <c r="A1061" s="380"/>
      <c r="B1061" s="571" t="s">
        <v>167</v>
      </c>
      <c r="C1061" s="327">
        <v>20</v>
      </c>
      <c r="D1061" s="327">
        <v>1.18</v>
      </c>
      <c r="E1061" s="327"/>
      <c r="F1061" s="327">
        <v>0.8</v>
      </c>
      <c r="G1061" s="328">
        <f t="shared" si="68"/>
        <v>0.94399999999999995</v>
      </c>
      <c r="H1061" s="328">
        <f t="shared" si="69"/>
        <v>18.88</v>
      </c>
      <c r="I1061" s="329" t="s">
        <v>2</v>
      </c>
    </row>
    <row r="1062" spans="1:9" s="18" customFormat="1" x14ac:dyDescent="0.2">
      <c r="A1062" s="380"/>
      <c r="B1062" s="533"/>
      <c r="C1062" s="327">
        <v>20</v>
      </c>
      <c r="D1062" s="327">
        <v>1.22</v>
      </c>
      <c r="E1062" s="327"/>
      <c r="F1062" s="327">
        <v>1.57</v>
      </c>
      <c r="G1062" s="328">
        <f t="shared" si="68"/>
        <v>1.9154</v>
      </c>
      <c r="H1062" s="328">
        <f t="shared" si="69"/>
        <v>38.308</v>
      </c>
      <c r="I1062" s="329" t="s">
        <v>2</v>
      </c>
    </row>
    <row r="1063" spans="1:9" s="18" customFormat="1" x14ac:dyDescent="0.2">
      <c r="A1063" s="380"/>
      <c r="B1063" s="581" t="s">
        <v>188</v>
      </c>
      <c r="C1063" s="254"/>
      <c r="D1063" s="258"/>
      <c r="E1063" s="258"/>
      <c r="F1063" s="327"/>
      <c r="G1063" s="328"/>
      <c r="H1063" s="328"/>
      <c r="I1063" s="388"/>
    </row>
    <row r="1064" spans="1:9" s="18" customFormat="1" x14ac:dyDescent="0.2">
      <c r="A1064" s="380"/>
      <c r="B1064" s="571" t="s">
        <v>163</v>
      </c>
      <c r="C1064" s="327">
        <v>5</v>
      </c>
      <c r="D1064" s="327">
        <v>0.9</v>
      </c>
      <c r="E1064" s="327"/>
      <c r="F1064" s="327">
        <v>2</v>
      </c>
      <c r="G1064" s="328">
        <f t="shared" si="68"/>
        <v>1.8</v>
      </c>
      <c r="H1064" s="328">
        <f t="shared" si="69"/>
        <v>9</v>
      </c>
      <c r="I1064" s="329" t="s">
        <v>2</v>
      </c>
    </row>
    <row r="1065" spans="1:9" s="18" customFormat="1" x14ac:dyDescent="0.2">
      <c r="A1065" s="380"/>
      <c r="B1065" s="581" t="s">
        <v>212</v>
      </c>
      <c r="C1065" s="254"/>
      <c r="D1065" s="258"/>
      <c r="E1065" s="258"/>
      <c r="F1065" s="327"/>
      <c r="G1065" s="328"/>
      <c r="H1065" s="328"/>
      <c r="I1065" s="388"/>
    </row>
    <row r="1066" spans="1:9" s="18" customFormat="1" x14ac:dyDescent="0.2">
      <c r="A1066" s="380"/>
      <c r="B1066" s="571" t="s">
        <v>163</v>
      </c>
      <c r="C1066" s="327">
        <v>1</v>
      </c>
      <c r="D1066" s="327">
        <v>0.9</v>
      </c>
      <c r="E1066" s="327"/>
      <c r="F1066" s="327">
        <v>2.1</v>
      </c>
      <c r="G1066" s="328">
        <f t="shared" si="68"/>
        <v>1.8900000000000001</v>
      </c>
      <c r="H1066" s="328">
        <f t="shared" si="69"/>
        <v>1.8900000000000001</v>
      </c>
      <c r="I1066" s="329" t="s">
        <v>2</v>
      </c>
    </row>
    <row r="1067" spans="1:9" s="18" customFormat="1" x14ac:dyDescent="0.2">
      <c r="A1067" s="380"/>
      <c r="B1067" s="571" t="s">
        <v>167</v>
      </c>
      <c r="C1067" s="327">
        <v>2</v>
      </c>
      <c r="D1067" s="327">
        <v>2.73</v>
      </c>
      <c r="E1067" s="327"/>
      <c r="F1067" s="327">
        <v>0.5</v>
      </c>
      <c r="G1067" s="328">
        <f t="shared" si="68"/>
        <v>1.365</v>
      </c>
      <c r="H1067" s="328">
        <f t="shared" si="69"/>
        <v>2.73</v>
      </c>
      <c r="I1067" s="329" t="s">
        <v>2</v>
      </c>
    </row>
    <row r="1068" spans="1:9" s="18" customFormat="1" x14ac:dyDescent="0.2">
      <c r="A1068" s="380"/>
      <c r="B1068" s="581" t="s">
        <v>189</v>
      </c>
      <c r="C1068" s="254"/>
      <c r="D1068" s="258"/>
      <c r="E1068" s="258"/>
      <c r="F1068" s="327"/>
      <c r="G1068" s="328"/>
      <c r="H1068" s="328"/>
      <c r="I1068" s="388"/>
    </row>
    <row r="1069" spans="1:9" s="18" customFormat="1" x14ac:dyDescent="0.2">
      <c r="A1069" s="602"/>
      <c r="B1069" s="593" t="s">
        <v>190</v>
      </c>
      <c r="C1069" s="599">
        <v>1</v>
      </c>
      <c r="D1069" s="599">
        <v>0.9</v>
      </c>
      <c r="E1069" s="599"/>
      <c r="F1069" s="599">
        <v>2.4</v>
      </c>
      <c r="G1069" s="600">
        <f t="shared" si="68"/>
        <v>2.16</v>
      </c>
      <c r="H1069" s="600">
        <f t="shared" si="69"/>
        <v>2.16</v>
      </c>
      <c r="I1069" s="601" t="s">
        <v>2</v>
      </c>
    </row>
    <row r="1070" spans="1:9" s="18" customFormat="1" x14ac:dyDescent="0.2">
      <c r="A1070" s="380"/>
      <c r="B1070" s="533"/>
      <c r="C1070" s="327">
        <v>1</v>
      </c>
      <c r="D1070" s="327">
        <v>3</v>
      </c>
      <c r="E1070" s="327"/>
      <c r="F1070" s="327">
        <v>2.4</v>
      </c>
      <c r="G1070" s="328">
        <f t="shared" si="68"/>
        <v>7.1999999999999993</v>
      </c>
      <c r="H1070" s="328">
        <f t="shared" si="69"/>
        <v>7.1999999999999993</v>
      </c>
      <c r="I1070" s="329" t="s">
        <v>2</v>
      </c>
    </row>
    <row r="1071" spans="1:9" s="18" customFormat="1" x14ac:dyDescent="0.2">
      <c r="A1071" s="380"/>
      <c r="B1071" s="571" t="s">
        <v>191</v>
      </c>
      <c r="C1071" s="327">
        <v>1</v>
      </c>
      <c r="D1071" s="327">
        <v>1.2</v>
      </c>
      <c r="E1071" s="327"/>
      <c r="F1071" s="327">
        <v>2.4</v>
      </c>
      <c r="G1071" s="328">
        <f t="shared" si="68"/>
        <v>2.88</v>
      </c>
      <c r="H1071" s="328">
        <f t="shared" si="69"/>
        <v>2.88</v>
      </c>
      <c r="I1071" s="329" t="s">
        <v>2</v>
      </c>
    </row>
    <row r="1072" spans="1:9" s="18" customFormat="1" x14ac:dyDescent="0.2">
      <c r="A1072" s="380"/>
      <c r="B1072" s="533"/>
      <c r="C1072" s="327">
        <v>1</v>
      </c>
      <c r="D1072" s="327">
        <v>2.97</v>
      </c>
      <c r="E1072" s="327"/>
      <c r="F1072" s="327">
        <v>2.4</v>
      </c>
      <c r="G1072" s="328">
        <f t="shared" si="68"/>
        <v>7.1280000000000001</v>
      </c>
      <c r="H1072" s="328">
        <f t="shared" si="69"/>
        <v>7.1280000000000001</v>
      </c>
      <c r="I1072" s="329" t="s">
        <v>2</v>
      </c>
    </row>
    <row r="1073" spans="1:9" s="18" customFormat="1" x14ac:dyDescent="0.2">
      <c r="A1073" s="380"/>
      <c r="B1073" s="571" t="s">
        <v>192</v>
      </c>
      <c r="C1073" s="327">
        <v>1</v>
      </c>
      <c r="D1073" s="327">
        <v>2.37</v>
      </c>
      <c r="E1073" s="327"/>
      <c r="F1073" s="327">
        <v>2.4</v>
      </c>
      <c r="G1073" s="328">
        <f t="shared" si="68"/>
        <v>5.6879999999999997</v>
      </c>
      <c r="H1073" s="328">
        <f t="shared" si="69"/>
        <v>5.6879999999999997</v>
      </c>
      <c r="I1073" s="329" t="s">
        <v>2</v>
      </c>
    </row>
    <row r="1074" spans="1:9" s="18" customFormat="1" x14ac:dyDescent="0.2">
      <c r="A1074" s="380"/>
      <c r="B1074" s="571" t="s">
        <v>198</v>
      </c>
      <c r="C1074" s="327">
        <v>1</v>
      </c>
      <c r="D1074" s="327">
        <v>2.72</v>
      </c>
      <c r="E1074" s="327"/>
      <c r="F1074" s="327">
        <v>2.4</v>
      </c>
      <c r="G1074" s="328">
        <f t="shared" si="68"/>
        <v>6.5280000000000005</v>
      </c>
      <c r="H1074" s="328">
        <f t="shared" si="69"/>
        <v>6.5280000000000005</v>
      </c>
      <c r="I1074" s="329" t="s">
        <v>2</v>
      </c>
    </row>
    <row r="1075" spans="1:9" s="18" customFormat="1" x14ac:dyDescent="0.2">
      <c r="A1075" s="380"/>
      <c r="B1075" s="571" t="s">
        <v>200</v>
      </c>
      <c r="C1075" s="327">
        <v>1</v>
      </c>
      <c r="D1075" s="327">
        <v>2.72</v>
      </c>
      <c r="E1075" s="327"/>
      <c r="F1075" s="327">
        <v>2.4</v>
      </c>
      <c r="G1075" s="328">
        <f t="shared" si="68"/>
        <v>6.5280000000000005</v>
      </c>
      <c r="H1075" s="328">
        <f t="shared" si="69"/>
        <v>6.5280000000000005</v>
      </c>
      <c r="I1075" s="329" t="s">
        <v>2</v>
      </c>
    </row>
    <row r="1076" spans="1:9" s="18" customFormat="1" x14ac:dyDescent="0.2">
      <c r="A1076" s="380"/>
      <c r="B1076" s="571"/>
      <c r="C1076" s="327">
        <v>1</v>
      </c>
      <c r="D1076" s="327">
        <v>2.81</v>
      </c>
      <c r="E1076" s="327"/>
      <c r="F1076" s="327">
        <v>2.4</v>
      </c>
      <c r="G1076" s="328">
        <f t="shared" si="68"/>
        <v>6.7439999999999998</v>
      </c>
      <c r="H1076" s="328">
        <f t="shared" si="69"/>
        <v>6.7439999999999998</v>
      </c>
      <c r="I1076" s="329" t="s">
        <v>2</v>
      </c>
    </row>
    <row r="1077" spans="1:9" s="18" customFormat="1" x14ac:dyDescent="0.2">
      <c r="A1077" s="380"/>
      <c r="B1077" s="571" t="s">
        <v>199</v>
      </c>
      <c r="C1077" s="327">
        <v>1</v>
      </c>
      <c r="D1077" s="327">
        <v>3.47</v>
      </c>
      <c r="E1077" s="327"/>
      <c r="F1077" s="327">
        <v>2.4</v>
      </c>
      <c r="G1077" s="328">
        <f t="shared" si="68"/>
        <v>8.3279999999999994</v>
      </c>
      <c r="H1077" s="328">
        <f t="shared" si="69"/>
        <v>8.3279999999999994</v>
      </c>
      <c r="I1077" s="329" t="s">
        <v>2</v>
      </c>
    </row>
    <row r="1078" spans="1:9" s="18" customFormat="1" ht="13.5" thickBot="1" x14ac:dyDescent="0.25">
      <c r="A1078" s="380"/>
      <c r="B1078" s="364"/>
      <c r="C1078" s="327"/>
      <c r="D1078" s="327"/>
      <c r="E1078" s="327"/>
      <c r="F1078" s="327"/>
      <c r="G1078" s="371"/>
      <c r="H1078" s="328"/>
      <c r="I1078" s="329"/>
    </row>
    <row r="1079" spans="1:9" s="12" customFormat="1" ht="12.75" customHeight="1" thickBot="1" x14ac:dyDescent="0.25">
      <c r="A1079" s="408" t="s">
        <v>403</v>
      </c>
      <c r="B1079" s="520" t="s">
        <v>193</v>
      </c>
      <c r="C1079" s="521"/>
      <c r="D1079" s="521"/>
      <c r="E1079" s="521"/>
      <c r="F1079" s="521"/>
      <c r="G1079" s="522"/>
      <c r="H1079" s="410">
        <f>SUM(H1082:H1087)</f>
        <v>356.38299999999998</v>
      </c>
      <c r="I1079" s="444" t="s">
        <v>2</v>
      </c>
    </row>
    <row r="1080" spans="1:9" s="18" customFormat="1" x14ac:dyDescent="0.2">
      <c r="A1080" s="380"/>
      <c r="B1080" s="231"/>
      <c r="C1080" s="254"/>
      <c r="D1080" s="258"/>
      <c r="E1080" s="258"/>
      <c r="F1080" s="371"/>
      <c r="G1080" s="328"/>
      <c r="H1080" s="257"/>
      <c r="I1080" s="388"/>
    </row>
    <row r="1081" spans="1:9" s="18" customFormat="1" x14ac:dyDescent="0.2">
      <c r="A1081" s="380"/>
      <c r="B1081" s="581" t="s">
        <v>180</v>
      </c>
      <c r="C1081" s="254"/>
      <c r="D1081" s="258"/>
      <c r="E1081" s="258"/>
      <c r="F1081" s="371"/>
      <c r="G1081" s="328"/>
      <c r="H1081" s="257"/>
      <c r="I1081" s="388"/>
    </row>
    <row r="1082" spans="1:9" s="18" customFormat="1" x14ac:dyDescent="0.2">
      <c r="A1082" s="380"/>
      <c r="B1082" s="588" t="s">
        <v>162</v>
      </c>
      <c r="C1082" s="254"/>
      <c r="D1082" s="258"/>
      <c r="E1082" s="258"/>
      <c r="F1082" s="371"/>
      <c r="G1082" s="328"/>
      <c r="H1082" s="257"/>
      <c r="I1082" s="388"/>
    </row>
    <row r="1083" spans="1:9" s="18" customFormat="1" x14ac:dyDescent="0.2">
      <c r="A1083" s="380"/>
      <c r="B1083" s="252"/>
      <c r="C1083" s="327">
        <v>2</v>
      </c>
      <c r="D1083" s="327">
        <v>24.41</v>
      </c>
      <c r="E1083" s="327"/>
      <c r="F1083" s="327">
        <v>3.55</v>
      </c>
      <c r="G1083" s="328">
        <f>D1083*F1083</f>
        <v>86.655499999999989</v>
      </c>
      <c r="H1083" s="328">
        <f>G1083*C1083</f>
        <v>173.31099999999998</v>
      </c>
      <c r="I1083" s="329" t="s">
        <v>2</v>
      </c>
    </row>
    <row r="1084" spans="1:9" s="18" customFormat="1" x14ac:dyDescent="0.2">
      <c r="A1084" s="380"/>
      <c r="B1084" s="231"/>
      <c r="C1084" s="327">
        <v>2</v>
      </c>
      <c r="D1084" s="327">
        <v>24.41</v>
      </c>
      <c r="E1084" s="327"/>
      <c r="F1084" s="327">
        <v>3.1</v>
      </c>
      <c r="G1084" s="328">
        <f>D1084*F1084</f>
        <v>75.671000000000006</v>
      </c>
      <c r="H1084" s="328">
        <f>G1084*C1084</f>
        <v>151.34200000000001</v>
      </c>
      <c r="I1084" s="329" t="s">
        <v>2</v>
      </c>
    </row>
    <row r="1085" spans="1:9" s="18" customFormat="1" x14ac:dyDescent="0.2">
      <c r="A1085" s="380"/>
      <c r="B1085" s="231"/>
      <c r="C1085" s="254">
        <v>2</v>
      </c>
      <c r="D1085" s="258"/>
      <c r="E1085" s="258"/>
      <c r="F1085" s="371" t="s">
        <v>173</v>
      </c>
      <c r="G1085" s="328">
        <v>19.940000000000001</v>
      </c>
      <c r="H1085" s="328">
        <f>G1085*C1085</f>
        <v>39.880000000000003</v>
      </c>
      <c r="I1085" s="329" t="s">
        <v>2</v>
      </c>
    </row>
    <row r="1086" spans="1:9" s="18" customFormat="1" x14ac:dyDescent="0.2">
      <c r="A1086" s="380"/>
      <c r="B1086" s="231"/>
      <c r="C1086" s="254">
        <v>2</v>
      </c>
      <c r="D1086" s="258"/>
      <c r="E1086" s="258"/>
      <c r="F1086" s="371" t="s">
        <v>173</v>
      </c>
      <c r="G1086" s="328">
        <v>19.260000000000002</v>
      </c>
      <c r="H1086" s="328">
        <f>G1086*C1086</f>
        <v>38.520000000000003</v>
      </c>
      <c r="I1086" s="329" t="s">
        <v>2</v>
      </c>
    </row>
    <row r="1087" spans="1:9" s="18" customFormat="1" x14ac:dyDescent="0.2">
      <c r="A1087" s="380"/>
      <c r="B1087" s="571" t="s">
        <v>194</v>
      </c>
      <c r="C1087" s="254">
        <v>-1</v>
      </c>
      <c r="D1087" s="258"/>
      <c r="E1087" s="258"/>
      <c r="F1087" s="371" t="s">
        <v>173</v>
      </c>
      <c r="G1087" s="328">
        <v>46.67</v>
      </c>
      <c r="H1087" s="328">
        <f>G1087*C1087</f>
        <v>-46.67</v>
      </c>
      <c r="I1087" s="329" t="s">
        <v>2</v>
      </c>
    </row>
    <row r="1088" spans="1:9" s="18" customFormat="1" ht="13.5" thickBot="1" x14ac:dyDescent="0.25">
      <c r="A1088" s="380"/>
      <c r="B1088" s="231"/>
      <c r="C1088" s="254"/>
      <c r="D1088" s="258"/>
      <c r="E1088" s="258"/>
      <c r="F1088" s="371"/>
      <c r="G1088" s="328"/>
      <c r="H1088" s="257"/>
      <c r="I1088" s="388"/>
    </row>
    <row r="1089" spans="1:9" s="12" customFormat="1" ht="12.75" customHeight="1" thickBot="1" x14ac:dyDescent="0.25">
      <c r="A1089" s="408" t="s">
        <v>202</v>
      </c>
      <c r="B1089" s="520" t="s">
        <v>387</v>
      </c>
      <c r="C1089" s="521"/>
      <c r="D1089" s="521"/>
      <c r="E1089" s="521"/>
      <c r="F1089" s="521"/>
      <c r="G1089" s="522"/>
      <c r="H1089" s="410">
        <f>SUM(H1091:H1093)</f>
        <v>1386.2467999999999</v>
      </c>
      <c r="I1089" s="444" t="s">
        <v>2</v>
      </c>
    </row>
    <row r="1090" spans="1:9" s="18" customFormat="1" x14ac:dyDescent="0.2">
      <c r="A1090" s="380"/>
      <c r="B1090" s="368"/>
      <c r="C1090" s="368"/>
      <c r="D1090" s="368"/>
      <c r="E1090" s="368"/>
      <c r="F1090" s="368"/>
      <c r="G1090" s="381"/>
      <c r="H1090" s="369"/>
      <c r="I1090" s="370"/>
    </row>
    <row r="1091" spans="1:9" s="18" customFormat="1" x14ac:dyDescent="0.2">
      <c r="A1091" s="265"/>
      <c r="B1091" s="581" t="s">
        <v>195</v>
      </c>
      <c r="C1091" s="365"/>
      <c r="D1091" s="365"/>
      <c r="E1091" s="365"/>
      <c r="F1091" s="365"/>
      <c r="G1091" s="366"/>
      <c r="H1091" s="366"/>
      <c r="I1091" s="367"/>
    </row>
    <row r="1092" spans="1:9" s="18" customFormat="1" x14ac:dyDescent="0.2">
      <c r="A1092" s="265"/>
      <c r="B1092" s="571" t="s">
        <v>196</v>
      </c>
      <c r="C1092" s="327">
        <v>23</v>
      </c>
      <c r="D1092" s="711">
        <v>56.99</v>
      </c>
      <c r="E1092" s="712"/>
      <c r="F1092" s="327"/>
      <c r="G1092" s="328">
        <f>D1092</f>
        <v>56.99</v>
      </c>
      <c r="H1092" s="328">
        <f>G1092*C1092</f>
        <v>1310.77</v>
      </c>
      <c r="I1092" s="329" t="s">
        <v>2</v>
      </c>
    </row>
    <row r="1093" spans="1:9" s="18" customFormat="1" x14ac:dyDescent="0.2">
      <c r="A1093" s="265"/>
      <c r="B1093" s="571" t="s">
        <v>197</v>
      </c>
      <c r="C1093" s="327">
        <v>23</v>
      </c>
      <c r="D1093" s="711">
        <f>1.12*2.93</f>
        <v>3.2816000000000005</v>
      </c>
      <c r="E1093" s="712"/>
      <c r="F1093" s="327"/>
      <c r="G1093" s="328">
        <f>D1093</f>
        <v>3.2816000000000005</v>
      </c>
      <c r="H1093" s="328">
        <f>G1093*C1093</f>
        <v>75.476800000000011</v>
      </c>
      <c r="I1093" s="329" t="s">
        <v>2</v>
      </c>
    </row>
    <row r="1094" spans="1:9" s="18" customFormat="1" ht="13.5" thickBot="1" x14ac:dyDescent="0.25">
      <c r="A1094" s="265"/>
      <c r="B1094" s="252"/>
      <c r="C1094" s="327"/>
      <c r="D1094" s="371"/>
      <c r="E1094" s="327"/>
      <c r="F1094" s="327"/>
      <c r="G1094" s="371"/>
      <c r="H1094" s="328"/>
      <c r="I1094" s="329"/>
    </row>
    <row r="1095" spans="1:9" s="12" customFormat="1" ht="12.75" customHeight="1" thickBot="1" x14ac:dyDescent="0.25">
      <c r="A1095" s="408" t="s">
        <v>206</v>
      </c>
      <c r="B1095" s="520" t="s">
        <v>388</v>
      </c>
      <c r="C1095" s="521"/>
      <c r="D1095" s="521"/>
      <c r="E1095" s="521"/>
      <c r="F1095" s="521"/>
      <c r="G1095" s="522"/>
      <c r="H1095" s="410">
        <f>SUM(H1098:H1099)</f>
        <v>15</v>
      </c>
      <c r="I1095" s="444" t="s">
        <v>8</v>
      </c>
    </row>
    <row r="1096" spans="1:9" s="18" customFormat="1" x14ac:dyDescent="0.2">
      <c r="A1096" s="380"/>
      <c r="B1096" s="231"/>
      <c r="C1096" s="254"/>
      <c r="D1096" s="258"/>
      <c r="E1096" s="258"/>
      <c r="F1096" s="371"/>
      <c r="G1096" s="328"/>
      <c r="H1096" s="257"/>
      <c r="I1096" s="388"/>
    </row>
    <row r="1097" spans="1:9" s="18" customFormat="1" x14ac:dyDescent="0.2">
      <c r="A1097" s="380"/>
      <c r="B1097" s="581" t="s">
        <v>203</v>
      </c>
      <c r="C1097" s="254"/>
      <c r="D1097" s="258"/>
      <c r="E1097" s="258"/>
      <c r="F1097" s="371"/>
      <c r="G1097" s="328"/>
      <c r="H1097" s="257"/>
      <c r="I1097" s="388"/>
    </row>
    <row r="1098" spans="1:9" s="18" customFormat="1" x14ac:dyDescent="0.2">
      <c r="A1098" s="265"/>
      <c r="B1098" s="231"/>
      <c r="C1098" s="327">
        <v>2</v>
      </c>
      <c r="D1098" s="327"/>
      <c r="E1098" s="327"/>
      <c r="F1098" s="327"/>
      <c r="G1098" s="328">
        <v>7</v>
      </c>
      <c r="H1098" s="328">
        <f>G1098*C1098</f>
        <v>14</v>
      </c>
      <c r="I1098" s="329" t="s">
        <v>8</v>
      </c>
    </row>
    <row r="1099" spans="1:9" s="18" customFormat="1" x14ac:dyDescent="0.2">
      <c r="A1099" s="265"/>
      <c r="B1099" s="252"/>
      <c r="C1099" s="327">
        <v>1</v>
      </c>
      <c r="D1099" s="327"/>
      <c r="E1099" s="327"/>
      <c r="F1099" s="327"/>
      <c r="G1099" s="328">
        <v>1</v>
      </c>
      <c r="H1099" s="328">
        <f>G1099*C1099</f>
        <v>1</v>
      </c>
      <c r="I1099" s="329" t="s">
        <v>8</v>
      </c>
    </row>
    <row r="1100" spans="1:9" s="18" customFormat="1" ht="13.5" thickBot="1" x14ac:dyDescent="0.25">
      <c r="A1100" s="265"/>
      <c r="B1100" s="252"/>
      <c r="C1100" s="327"/>
      <c r="D1100" s="258"/>
      <c r="E1100" s="258"/>
      <c r="F1100" s="327"/>
      <c r="G1100" s="371"/>
      <c r="H1100" s="328"/>
      <c r="I1100" s="329"/>
    </row>
    <row r="1101" spans="1:9" s="12" customFormat="1" ht="12.75" customHeight="1" thickBot="1" x14ac:dyDescent="0.25">
      <c r="A1101" s="408" t="s">
        <v>208</v>
      </c>
      <c r="B1101" s="520" t="s">
        <v>204</v>
      </c>
      <c r="C1101" s="521"/>
      <c r="D1101" s="521"/>
      <c r="E1101" s="521"/>
      <c r="F1101" s="521"/>
      <c r="G1101" s="522"/>
      <c r="H1101" s="410">
        <f>SUM(H1103:H1104)</f>
        <v>32</v>
      </c>
      <c r="I1101" s="444" t="s">
        <v>9</v>
      </c>
    </row>
    <row r="1102" spans="1:9" s="18" customFormat="1" x14ac:dyDescent="0.2">
      <c r="A1102" s="380"/>
      <c r="B1102" s="581" t="s">
        <v>201</v>
      </c>
      <c r="C1102" s="254"/>
      <c r="D1102" s="258"/>
      <c r="E1102" s="258"/>
      <c r="F1102" s="371"/>
      <c r="G1102" s="328"/>
      <c r="H1102" s="257"/>
      <c r="I1102" s="388"/>
    </row>
    <row r="1103" spans="1:9" s="18" customFormat="1" x14ac:dyDescent="0.2">
      <c r="A1103" s="265"/>
      <c r="B1103" s="571" t="s">
        <v>205</v>
      </c>
      <c r="C1103" s="327">
        <v>10</v>
      </c>
      <c r="D1103" s="327"/>
      <c r="E1103" s="327"/>
      <c r="F1103" s="327"/>
      <c r="G1103" s="328">
        <v>1.6</v>
      </c>
      <c r="H1103" s="328">
        <f>G1103*C1103</f>
        <v>16</v>
      </c>
      <c r="I1103" s="329" t="s">
        <v>9</v>
      </c>
    </row>
    <row r="1104" spans="1:9" s="18" customFormat="1" x14ac:dyDescent="0.2">
      <c r="A1104" s="265"/>
      <c r="B1104" s="571" t="s">
        <v>205</v>
      </c>
      <c r="C1104" s="327">
        <v>10</v>
      </c>
      <c r="D1104" s="327"/>
      <c r="E1104" s="327"/>
      <c r="F1104" s="327"/>
      <c r="G1104" s="328">
        <v>1.6</v>
      </c>
      <c r="H1104" s="328">
        <f>G1104*C1104</f>
        <v>16</v>
      </c>
      <c r="I1104" s="329" t="s">
        <v>9</v>
      </c>
    </row>
    <row r="1105" spans="1:9" s="18" customFormat="1" ht="13.5" thickBot="1" x14ac:dyDescent="0.25">
      <c r="A1105" s="265"/>
      <c r="B1105" s="252"/>
      <c r="C1105" s="327"/>
      <c r="D1105" s="258"/>
      <c r="E1105" s="258"/>
      <c r="F1105" s="327"/>
      <c r="G1105" s="371"/>
      <c r="H1105" s="328"/>
      <c r="I1105" s="329"/>
    </row>
    <row r="1106" spans="1:9" s="12" customFormat="1" ht="12.75" customHeight="1" thickBot="1" x14ac:dyDescent="0.25">
      <c r="A1106" s="408" t="s">
        <v>210</v>
      </c>
      <c r="B1106" s="520" t="s">
        <v>207</v>
      </c>
      <c r="C1106" s="521"/>
      <c r="D1106" s="521"/>
      <c r="E1106" s="521"/>
      <c r="F1106" s="521"/>
      <c r="G1106" s="522"/>
      <c r="H1106" s="410">
        <f>SUM(H1108:H1109)</f>
        <v>5.6</v>
      </c>
      <c r="I1106" s="444" t="s">
        <v>9</v>
      </c>
    </row>
    <row r="1107" spans="1:9" s="18" customFormat="1" x14ac:dyDescent="0.2">
      <c r="A1107" s="380"/>
      <c r="B1107" s="581" t="s">
        <v>201</v>
      </c>
      <c r="C1107" s="254"/>
      <c r="D1107" s="258"/>
      <c r="E1107" s="258"/>
      <c r="F1107" s="371"/>
      <c r="G1107" s="328"/>
      <c r="H1107" s="257"/>
      <c r="I1107" s="388"/>
    </row>
    <row r="1108" spans="1:9" s="18" customFormat="1" x14ac:dyDescent="0.2">
      <c r="A1108" s="265"/>
      <c r="B1108" s="571" t="s">
        <v>205</v>
      </c>
      <c r="C1108" s="327">
        <v>1</v>
      </c>
      <c r="D1108" s="327"/>
      <c r="E1108" s="327"/>
      <c r="F1108" s="327"/>
      <c r="G1108" s="328">
        <f>2.53+3.07</f>
        <v>5.6</v>
      </c>
      <c r="H1108" s="328">
        <f>G1108*C1108</f>
        <v>5.6</v>
      </c>
      <c r="I1108" s="329" t="s">
        <v>9</v>
      </c>
    </row>
    <row r="1109" spans="1:9" s="18" customFormat="1" ht="13.5" thickBot="1" x14ac:dyDescent="0.25">
      <c r="A1109" s="265"/>
      <c r="B1109" s="252"/>
      <c r="C1109" s="327"/>
      <c r="D1109" s="327"/>
      <c r="E1109" s="327"/>
      <c r="F1109" s="327"/>
      <c r="G1109" s="328"/>
      <c r="H1109" s="328"/>
      <c r="I1109" s="329"/>
    </row>
    <row r="1110" spans="1:9" s="12" customFormat="1" ht="12.75" customHeight="1" thickBot="1" x14ac:dyDescent="0.25">
      <c r="A1110" s="408" t="s">
        <v>213</v>
      </c>
      <c r="B1110" s="520" t="s">
        <v>209</v>
      </c>
      <c r="C1110" s="521"/>
      <c r="D1110" s="521"/>
      <c r="E1110" s="521"/>
      <c r="F1110" s="521"/>
      <c r="G1110" s="522"/>
      <c r="H1110" s="410">
        <f>SUM(H1112:H1113)</f>
        <v>2</v>
      </c>
      <c r="I1110" s="444" t="s">
        <v>8</v>
      </c>
    </row>
    <row r="1111" spans="1:9" s="18" customFormat="1" x14ac:dyDescent="0.2">
      <c r="A1111" s="380"/>
      <c r="B1111" s="581" t="s">
        <v>203</v>
      </c>
      <c r="C1111" s="254"/>
      <c r="D1111" s="258"/>
      <c r="E1111" s="258"/>
      <c r="F1111" s="371"/>
      <c r="G1111" s="328"/>
      <c r="H1111" s="257"/>
      <c r="I1111" s="388"/>
    </row>
    <row r="1112" spans="1:9" s="18" customFormat="1" x14ac:dyDescent="0.2">
      <c r="A1112" s="265"/>
      <c r="B1112" s="252"/>
      <c r="C1112" s="327">
        <v>1</v>
      </c>
      <c r="D1112" s="327"/>
      <c r="E1112" s="327"/>
      <c r="F1112" s="327"/>
      <c r="G1112" s="328">
        <v>2</v>
      </c>
      <c r="H1112" s="328">
        <f>G1112*C1112</f>
        <v>2</v>
      </c>
      <c r="I1112" s="329" t="s">
        <v>8</v>
      </c>
    </row>
    <row r="1113" spans="1:9" s="18" customFormat="1" ht="13.5" thickBot="1" x14ac:dyDescent="0.25">
      <c r="A1113" s="265"/>
      <c r="B1113" s="252"/>
      <c r="C1113" s="327"/>
      <c r="D1113" s="258"/>
      <c r="E1113" s="258"/>
      <c r="F1113" s="327"/>
      <c r="G1113" s="371"/>
      <c r="H1113" s="328"/>
      <c r="I1113" s="329"/>
    </row>
    <row r="1114" spans="1:9" s="12" customFormat="1" ht="12.75" customHeight="1" thickBot="1" x14ac:dyDescent="0.25">
      <c r="A1114" s="408" t="s">
        <v>214</v>
      </c>
      <c r="B1114" s="520" t="s">
        <v>211</v>
      </c>
      <c r="C1114" s="521"/>
      <c r="D1114" s="521"/>
      <c r="E1114" s="521"/>
      <c r="F1114" s="521"/>
      <c r="G1114" s="522"/>
      <c r="H1114" s="410">
        <f>SUM(H1116:H1117)</f>
        <v>2</v>
      </c>
      <c r="I1114" s="444" t="s">
        <v>8</v>
      </c>
    </row>
    <row r="1115" spans="1:9" s="18" customFormat="1" x14ac:dyDescent="0.2">
      <c r="A1115" s="380"/>
      <c r="B1115" s="581" t="s">
        <v>203</v>
      </c>
      <c r="C1115" s="254"/>
      <c r="D1115" s="258"/>
      <c r="E1115" s="258"/>
      <c r="F1115" s="371"/>
      <c r="G1115" s="328"/>
      <c r="H1115" s="257"/>
      <c r="I1115" s="388"/>
    </row>
    <row r="1116" spans="1:9" s="18" customFormat="1" x14ac:dyDescent="0.2">
      <c r="A1116" s="265"/>
      <c r="B1116" s="252"/>
      <c r="C1116" s="327">
        <v>1</v>
      </c>
      <c r="D1116" s="327"/>
      <c r="E1116" s="327"/>
      <c r="F1116" s="327"/>
      <c r="G1116" s="328">
        <v>2</v>
      </c>
      <c r="H1116" s="328">
        <f>G1116*C1116</f>
        <v>2</v>
      </c>
      <c r="I1116" s="329" t="s">
        <v>8</v>
      </c>
    </row>
    <row r="1117" spans="1:9" s="18" customFormat="1" ht="11.25" customHeight="1" thickBot="1" x14ac:dyDescent="0.25">
      <c r="A1117" s="265"/>
      <c r="B1117" s="252"/>
      <c r="C1117" s="327"/>
      <c r="D1117" s="258"/>
      <c r="E1117" s="258"/>
      <c r="F1117" s="327"/>
      <c r="G1117" s="371"/>
      <c r="H1117" s="328"/>
      <c r="I1117" s="329"/>
    </row>
    <row r="1118" spans="1:9" s="12" customFormat="1" ht="12.75" customHeight="1" thickBot="1" x14ac:dyDescent="0.25">
      <c r="A1118" s="408" t="s">
        <v>216</v>
      </c>
      <c r="B1118" s="520" t="s">
        <v>221</v>
      </c>
      <c r="C1118" s="521"/>
      <c r="D1118" s="521"/>
      <c r="E1118" s="521"/>
      <c r="F1118" s="521"/>
      <c r="G1118" s="522"/>
      <c r="H1118" s="410">
        <f>SUM(H1120)</f>
        <v>6</v>
      </c>
      <c r="I1118" s="444" t="s">
        <v>8</v>
      </c>
    </row>
    <row r="1119" spans="1:9" s="18" customFormat="1" ht="11.25" customHeight="1" x14ac:dyDescent="0.2">
      <c r="A1119" s="380"/>
      <c r="B1119" s="581" t="s">
        <v>203</v>
      </c>
      <c r="C1119" s="254"/>
      <c r="D1119" s="258"/>
      <c r="E1119" s="258"/>
      <c r="F1119" s="371"/>
      <c r="G1119" s="328"/>
      <c r="H1119" s="257"/>
      <c r="I1119" s="388"/>
    </row>
    <row r="1120" spans="1:9" s="18" customFormat="1" ht="11.25" customHeight="1" x14ac:dyDescent="0.2">
      <c r="A1120" s="265"/>
      <c r="B1120" s="252"/>
      <c r="C1120" s="327">
        <v>1</v>
      </c>
      <c r="D1120" s="327"/>
      <c r="E1120" s="327"/>
      <c r="F1120" s="327"/>
      <c r="G1120" s="328">
        <v>6</v>
      </c>
      <c r="H1120" s="328">
        <f>G1120*C1120</f>
        <v>6</v>
      </c>
      <c r="I1120" s="329" t="s">
        <v>8</v>
      </c>
    </row>
    <row r="1121" spans="1:9" s="18" customFormat="1" ht="11.25" customHeight="1" thickBot="1" x14ac:dyDescent="0.25">
      <c r="A1121" s="265"/>
      <c r="B1121" s="252"/>
      <c r="C1121" s="327"/>
      <c r="D1121" s="327"/>
      <c r="E1121" s="327"/>
      <c r="F1121" s="327"/>
      <c r="G1121" s="371"/>
      <c r="H1121" s="328"/>
      <c r="I1121" s="329"/>
    </row>
    <row r="1122" spans="1:9" s="12" customFormat="1" ht="12.75" customHeight="1" thickBot="1" x14ac:dyDescent="0.25">
      <c r="A1122" s="408" t="s">
        <v>404</v>
      </c>
      <c r="B1122" s="520" t="s">
        <v>215</v>
      </c>
      <c r="C1122" s="521"/>
      <c r="D1122" s="521"/>
      <c r="E1122" s="521"/>
      <c r="F1122" s="521"/>
      <c r="G1122" s="522"/>
      <c r="H1122" s="410">
        <f>SUM(H1124)</f>
        <v>8</v>
      </c>
      <c r="I1122" s="444" t="s">
        <v>8</v>
      </c>
    </row>
    <row r="1123" spans="1:9" s="18" customFormat="1" ht="11.25" customHeight="1" x14ac:dyDescent="0.2">
      <c r="A1123" s="265"/>
      <c r="B1123" s="581" t="s">
        <v>188</v>
      </c>
      <c r="C1123" s="327"/>
      <c r="D1123" s="327"/>
      <c r="E1123" s="327"/>
      <c r="F1123" s="327"/>
      <c r="G1123" s="371"/>
      <c r="H1123" s="328"/>
      <c r="I1123" s="329"/>
    </row>
    <row r="1124" spans="1:9" s="18" customFormat="1" ht="11.25" customHeight="1" x14ac:dyDescent="0.2">
      <c r="A1124" s="265"/>
      <c r="B1124" s="252"/>
      <c r="C1124" s="327">
        <v>1</v>
      </c>
      <c r="D1124" s="327"/>
      <c r="E1124" s="327"/>
      <c r="F1124" s="327"/>
      <c r="G1124" s="328">
        <v>8</v>
      </c>
      <c r="H1124" s="328">
        <f>G1124*C1124</f>
        <v>8</v>
      </c>
      <c r="I1124" s="329" t="s">
        <v>8</v>
      </c>
    </row>
    <row r="1125" spans="1:9" s="18" customFormat="1" ht="11.25" customHeight="1" thickBot="1" x14ac:dyDescent="0.25">
      <c r="A1125" s="265"/>
      <c r="B1125" s="252"/>
      <c r="C1125" s="327"/>
      <c r="D1125" s="327"/>
      <c r="E1125" s="327"/>
      <c r="F1125" s="327"/>
      <c r="G1125" s="371"/>
      <c r="H1125" s="328"/>
      <c r="I1125" s="329"/>
    </row>
    <row r="1126" spans="1:9" s="12" customFormat="1" ht="12.75" customHeight="1" thickBot="1" x14ac:dyDescent="0.25">
      <c r="A1126" s="408" t="s">
        <v>405</v>
      </c>
      <c r="B1126" s="520" t="s">
        <v>217</v>
      </c>
      <c r="C1126" s="521"/>
      <c r="D1126" s="521"/>
      <c r="E1126" s="521"/>
      <c r="F1126" s="521"/>
      <c r="G1126" s="522"/>
      <c r="H1126" s="410">
        <f>SUM(H1128:H1132)</f>
        <v>12</v>
      </c>
      <c r="I1126" s="444" t="s">
        <v>8</v>
      </c>
    </row>
    <row r="1127" spans="1:9" s="18" customFormat="1" ht="11.25" customHeight="1" x14ac:dyDescent="0.2">
      <c r="A1127" s="265"/>
      <c r="B1127" s="581" t="s">
        <v>218</v>
      </c>
      <c r="C1127" s="327"/>
      <c r="D1127" s="327"/>
      <c r="E1127" s="327"/>
      <c r="F1127" s="327"/>
      <c r="G1127" s="371"/>
      <c r="H1127" s="328"/>
      <c r="I1127" s="329"/>
    </row>
    <row r="1128" spans="1:9" s="18" customFormat="1" ht="11.25" customHeight="1" x14ac:dyDescent="0.2">
      <c r="A1128" s="265"/>
      <c r="B1128" s="571"/>
      <c r="C1128" s="327">
        <v>1</v>
      </c>
      <c r="D1128" s="327"/>
      <c r="E1128" s="327"/>
      <c r="F1128" s="327"/>
      <c r="G1128" s="328">
        <v>4</v>
      </c>
      <c r="H1128" s="328">
        <f>G1128*C1128</f>
        <v>4</v>
      </c>
      <c r="I1128" s="329" t="s">
        <v>8</v>
      </c>
    </row>
    <row r="1129" spans="1:9" s="18" customFormat="1" ht="11.25" customHeight="1" x14ac:dyDescent="0.2">
      <c r="A1129" s="265"/>
      <c r="B1129" s="581" t="s">
        <v>219</v>
      </c>
      <c r="C1129" s="327"/>
      <c r="D1129" s="327"/>
      <c r="E1129" s="327"/>
      <c r="F1129" s="327"/>
      <c r="G1129" s="371"/>
      <c r="H1129" s="328"/>
      <c r="I1129" s="329"/>
    </row>
    <row r="1130" spans="1:9" s="18" customFormat="1" ht="11.25" customHeight="1" x14ac:dyDescent="0.2">
      <c r="A1130" s="265"/>
      <c r="B1130" s="571"/>
      <c r="C1130" s="327">
        <v>1</v>
      </c>
      <c r="D1130" s="327"/>
      <c r="E1130" s="327"/>
      <c r="F1130" s="327"/>
      <c r="G1130" s="328">
        <v>6</v>
      </c>
      <c r="H1130" s="328">
        <f>G1130*C1130</f>
        <v>6</v>
      </c>
      <c r="I1130" s="329" t="s">
        <v>8</v>
      </c>
    </row>
    <row r="1131" spans="1:9" s="18" customFormat="1" ht="11.25" customHeight="1" x14ac:dyDescent="0.2">
      <c r="A1131" s="265"/>
      <c r="B1131" s="581" t="s">
        <v>183</v>
      </c>
      <c r="C1131" s="327"/>
      <c r="D1131" s="327"/>
      <c r="E1131" s="327"/>
      <c r="F1131" s="327"/>
      <c r="G1131" s="371"/>
      <c r="H1131" s="328"/>
      <c r="I1131" s="329"/>
    </row>
    <row r="1132" spans="1:9" s="18" customFormat="1" ht="11.25" customHeight="1" thickBot="1" x14ac:dyDescent="0.25">
      <c r="A1132" s="265"/>
      <c r="B1132" s="252"/>
      <c r="C1132" s="327">
        <v>1</v>
      </c>
      <c r="D1132" s="327"/>
      <c r="E1132" s="327"/>
      <c r="F1132" s="327"/>
      <c r="G1132" s="328">
        <v>2</v>
      </c>
      <c r="H1132" s="328">
        <f>G1132*C1132</f>
        <v>2</v>
      </c>
      <c r="I1132" s="329" t="s">
        <v>8</v>
      </c>
    </row>
    <row r="1133" spans="1:9" s="12" customFormat="1" ht="12.75" customHeight="1" thickBot="1" x14ac:dyDescent="0.25">
      <c r="A1133" s="408" t="s">
        <v>406</v>
      </c>
      <c r="B1133" s="520" t="s">
        <v>389</v>
      </c>
      <c r="C1133" s="521"/>
      <c r="D1133" s="521"/>
      <c r="E1133" s="521"/>
      <c r="F1133" s="521"/>
      <c r="G1133" s="522"/>
      <c r="H1133" s="410">
        <f>SUM(H1135:H1137)</f>
        <v>1386.2467999999999</v>
      </c>
      <c r="I1133" s="444" t="s">
        <v>2</v>
      </c>
    </row>
    <row r="1134" spans="1:9" s="18" customFormat="1" ht="11.25" customHeight="1" x14ac:dyDescent="0.2">
      <c r="A1134" s="265"/>
      <c r="B1134" s="252"/>
      <c r="C1134" s="327"/>
      <c r="D1134" s="327"/>
      <c r="E1134" s="327"/>
      <c r="F1134" s="327"/>
      <c r="G1134" s="371"/>
      <c r="H1134" s="328"/>
      <c r="I1134" s="329"/>
    </row>
    <row r="1135" spans="1:9" s="18" customFormat="1" ht="11.25" customHeight="1" x14ac:dyDescent="0.2">
      <c r="A1135" s="265"/>
      <c r="B1135" s="571" t="s">
        <v>196</v>
      </c>
      <c r="C1135" s="327">
        <v>23</v>
      </c>
      <c r="D1135" s="711">
        <v>56.99</v>
      </c>
      <c r="E1135" s="712"/>
      <c r="F1135" s="327"/>
      <c r="G1135" s="328">
        <f>D1135</f>
        <v>56.99</v>
      </c>
      <c r="H1135" s="328">
        <f>G1135*C1135</f>
        <v>1310.77</v>
      </c>
      <c r="I1135" s="329" t="s">
        <v>2</v>
      </c>
    </row>
    <row r="1136" spans="1:9" s="18" customFormat="1" ht="11.25" customHeight="1" x14ac:dyDescent="0.2">
      <c r="A1136" s="265"/>
      <c r="B1136" s="571"/>
      <c r="C1136" s="327"/>
      <c r="D1136" s="523"/>
      <c r="E1136" s="524"/>
      <c r="F1136" s="327"/>
      <c r="G1136" s="328"/>
      <c r="H1136" s="328"/>
      <c r="I1136" s="329"/>
    </row>
    <row r="1137" spans="1:9" s="18" customFormat="1" ht="11.25" customHeight="1" x14ac:dyDescent="0.2">
      <c r="A1137" s="265"/>
      <c r="B1137" s="571" t="s">
        <v>197</v>
      </c>
      <c r="C1137" s="327">
        <v>23</v>
      </c>
      <c r="D1137" s="711">
        <f>1.12*2.93</f>
        <v>3.2816000000000005</v>
      </c>
      <c r="E1137" s="712"/>
      <c r="F1137" s="327"/>
      <c r="G1137" s="328">
        <f>D1137</f>
        <v>3.2816000000000005</v>
      </c>
      <c r="H1137" s="328">
        <f>G1137*C1137</f>
        <v>75.476800000000011</v>
      </c>
      <c r="I1137" s="329" t="s">
        <v>2</v>
      </c>
    </row>
    <row r="1138" spans="1:9" s="18" customFormat="1" ht="11.25" customHeight="1" thickBot="1" x14ac:dyDescent="0.25">
      <c r="A1138" s="265"/>
      <c r="B1138" s="252"/>
      <c r="C1138" s="327"/>
      <c r="D1138" s="371"/>
      <c r="E1138" s="327"/>
      <c r="F1138" s="327"/>
      <c r="G1138" s="371"/>
      <c r="H1138" s="328"/>
      <c r="I1138" s="329"/>
    </row>
    <row r="1139" spans="1:9" s="17" customFormat="1" ht="13.5" thickBot="1" x14ac:dyDescent="0.25">
      <c r="A1139" s="389">
        <v>1.03</v>
      </c>
      <c r="B1139" s="390" t="s">
        <v>86</v>
      </c>
      <c r="C1139" s="391"/>
      <c r="D1139" s="392"/>
      <c r="E1139" s="392"/>
      <c r="F1139" s="393"/>
      <c r="G1139" s="394"/>
      <c r="H1139" s="395"/>
      <c r="I1139" s="396"/>
    </row>
    <row r="1140" spans="1:9" s="19" customFormat="1" ht="13.5" customHeight="1" thickBot="1" x14ac:dyDescent="0.25">
      <c r="A1140" s="324" t="s">
        <v>46</v>
      </c>
      <c r="B1140" s="325" t="s">
        <v>85</v>
      </c>
      <c r="C1140" s="326"/>
      <c r="D1140" s="360"/>
      <c r="E1140" s="360"/>
      <c r="F1140" s="361"/>
      <c r="G1140" s="361"/>
      <c r="H1140" s="362"/>
      <c r="I1140" s="363"/>
    </row>
    <row r="1141" spans="1:9" s="12" customFormat="1" ht="12.75" customHeight="1" thickBot="1" x14ac:dyDescent="0.25">
      <c r="A1141" s="408" t="s">
        <v>63</v>
      </c>
      <c r="B1141" s="520" t="s">
        <v>62</v>
      </c>
      <c r="C1141" s="521"/>
      <c r="D1141" s="521"/>
      <c r="E1141" s="521"/>
      <c r="F1141" s="521"/>
      <c r="G1141" s="522"/>
      <c r="H1141" s="410">
        <f>SUM(H1143:H1143)</f>
        <v>1</v>
      </c>
      <c r="I1141" s="444" t="s">
        <v>31</v>
      </c>
    </row>
    <row r="1142" spans="1:9" s="11" customFormat="1" ht="11.25" customHeight="1" x14ac:dyDescent="0.2">
      <c r="A1142" s="316"/>
      <c r="B1142" s="317"/>
      <c r="C1142" s="213"/>
      <c r="D1142" s="214"/>
      <c r="E1142" s="214"/>
      <c r="F1142" s="254"/>
      <c r="G1142" s="259"/>
      <c r="H1142" s="209"/>
      <c r="I1142" s="210"/>
    </row>
    <row r="1143" spans="1:9" s="11" customFormat="1" ht="11.25" customHeight="1" x14ac:dyDescent="0.2">
      <c r="A1143" s="316"/>
      <c r="B1143" s="231"/>
      <c r="C1143" s="213">
        <v>1</v>
      </c>
      <c r="D1143" s="214"/>
      <c r="E1143" s="214"/>
      <c r="F1143" s="254"/>
      <c r="G1143" s="259">
        <f>C1143</f>
        <v>1</v>
      </c>
      <c r="H1143" s="216">
        <f>G1143</f>
        <v>1</v>
      </c>
      <c r="I1143" s="217" t="s">
        <v>7</v>
      </c>
    </row>
    <row r="1144" spans="1:9" s="11" customFormat="1" ht="14.25" customHeight="1" thickBot="1" x14ac:dyDescent="0.25">
      <c r="A1144" s="397"/>
      <c r="B1144" s="398"/>
      <c r="C1144" s="320"/>
      <c r="D1144" s="399"/>
      <c r="E1144" s="399"/>
      <c r="F1144" s="400"/>
      <c r="G1144" s="401"/>
      <c r="H1144" s="402"/>
      <c r="I1144" s="403"/>
    </row>
    <row r="1145" spans="1:9" s="12" customFormat="1" ht="12.75" customHeight="1" thickBot="1" x14ac:dyDescent="0.25">
      <c r="A1145" s="408" t="s">
        <v>65</v>
      </c>
      <c r="B1145" s="520" t="s">
        <v>64</v>
      </c>
      <c r="C1145" s="521"/>
      <c r="D1145" s="521"/>
      <c r="E1145" s="521"/>
      <c r="F1145" s="521"/>
      <c r="G1145" s="522"/>
      <c r="H1145" s="410">
        <f>SUM(H1147:H1148)</f>
        <v>1</v>
      </c>
      <c r="I1145" s="444" t="s">
        <v>31</v>
      </c>
    </row>
    <row r="1146" spans="1:9" s="11" customFormat="1" ht="11.25" customHeight="1" x14ac:dyDescent="0.2">
      <c r="A1146" s="316"/>
      <c r="B1146" s="317"/>
      <c r="C1146" s="213"/>
      <c r="D1146" s="214"/>
      <c r="E1146" s="214"/>
      <c r="F1146" s="254"/>
      <c r="G1146" s="259"/>
      <c r="H1146" s="209"/>
      <c r="I1146" s="210"/>
    </row>
    <row r="1147" spans="1:9" s="11" customFormat="1" ht="11.25" customHeight="1" x14ac:dyDescent="0.2">
      <c r="A1147" s="316"/>
      <c r="B1147" s="231"/>
      <c r="C1147" s="213">
        <v>1</v>
      </c>
      <c r="D1147" s="214"/>
      <c r="E1147" s="214"/>
      <c r="F1147" s="254"/>
      <c r="G1147" s="259">
        <f>C1147</f>
        <v>1</v>
      </c>
      <c r="H1147" s="216">
        <f>G1147</f>
        <v>1</v>
      </c>
      <c r="I1147" s="217" t="s">
        <v>7</v>
      </c>
    </row>
    <row r="1148" spans="1:9" s="11" customFormat="1" ht="11.25" customHeight="1" x14ac:dyDescent="0.2">
      <c r="A1148" s="316"/>
      <c r="B1148" s="231"/>
      <c r="C1148" s="213"/>
      <c r="D1148" s="214"/>
      <c r="E1148" s="214"/>
      <c r="F1148" s="254"/>
      <c r="G1148" s="259"/>
      <c r="H1148" s="216"/>
      <c r="I1148" s="217"/>
    </row>
    <row r="1149" spans="1:9" s="11" customFormat="1" ht="11.25" customHeight="1" thickBot="1" x14ac:dyDescent="0.25">
      <c r="A1149" s="318"/>
      <c r="B1149" s="319"/>
      <c r="C1149" s="320"/>
      <c r="D1149" s="321"/>
      <c r="E1149" s="321"/>
      <c r="F1149" s="285"/>
      <c r="G1149" s="294"/>
      <c r="H1149" s="322"/>
      <c r="I1149" s="323"/>
    </row>
    <row r="1150" spans="1:9" s="12" customFormat="1" ht="12.75" customHeight="1" thickBot="1" x14ac:dyDescent="0.25">
      <c r="A1150" s="408" t="s">
        <v>66</v>
      </c>
      <c r="B1150" s="520" t="s">
        <v>13</v>
      </c>
      <c r="C1150" s="521"/>
      <c r="D1150" s="521"/>
      <c r="E1150" s="521"/>
      <c r="F1150" s="521"/>
      <c r="G1150" s="522"/>
      <c r="H1150" s="410">
        <f>SUM(H1152:H1152)</f>
        <v>1</v>
      </c>
      <c r="I1150" s="444" t="s">
        <v>31</v>
      </c>
    </row>
    <row r="1151" spans="1:9" s="11" customFormat="1" ht="11.25" customHeight="1" x14ac:dyDescent="0.2">
      <c r="A1151" s="316"/>
      <c r="B1151" s="317"/>
      <c r="C1151" s="213"/>
      <c r="D1151" s="214"/>
      <c r="E1151" s="214"/>
      <c r="F1151" s="254"/>
      <c r="G1151" s="259"/>
      <c r="H1151" s="209"/>
      <c r="I1151" s="210"/>
    </row>
    <row r="1152" spans="1:9" s="11" customFormat="1" ht="11.25" customHeight="1" x14ac:dyDescent="0.2">
      <c r="A1152" s="316"/>
      <c r="B1152" s="231"/>
      <c r="C1152" s="213">
        <v>1</v>
      </c>
      <c r="D1152" s="214"/>
      <c r="E1152" s="214"/>
      <c r="F1152" s="254"/>
      <c r="G1152" s="259">
        <f>C1152</f>
        <v>1</v>
      </c>
      <c r="H1152" s="216">
        <f>G1152</f>
        <v>1</v>
      </c>
      <c r="I1152" s="217" t="s">
        <v>7</v>
      </c>
    </row>
    <row r="1153" spans="1:9" s="11" customFormat="1" ht="11.25" customHeight="1" thickBot="1" x14ac:dyDescent="0.25">
      <c r="A1153" s="318"/>
      <c r="B1153" s="319"/>
      <c r="C1153" s="320"/>
      <c r="D1153" s="321"/>
      <c r="E1153" s="321"/>
      <c r="F1153" s="285"/>
      <c r="G1153" s="294"/>
      <c r="H1153" s="322"/>
      <c r="I1153" s="323"/>
    </row>
    <row r="1154" spans="1:9" s="19" customFormat="1" ht="13.5" customHeight="1" thickBot="1" x14ac:dyDescent="0.25">
      <c r="A1154" s="324" t="s">
        <v>47</v>
      </c>
      <c r="B1154" s="325" t="s">
        <v>83</v>
      </c>
      <c r="C1154" s="326"/>
      <c r="D1154" s="360"/>
      <c r="E1154" s="360"/>
      <c r="F1154" s="361"/>
      <c r="G1154" s="361"/>
      <c r="H1154" s="362"/>
      <c r="I1154" s="363"/>
    </row>
    <row r="1155" spans="1:9" s="12" customFormat="1" ht="12.75" customHeight="1" thickBot="1" x14ac:dyDescent="0.25">
      <c r="A1155" s="408" t="s">
        <v>67</v>
      </c>
      <c r="B1155" s="520" t="s">
        <v>68</v>
      </c>
      <c r="C1155" s="521"/>
      <c r="D1155" s="521"/>
      <c r="E1155" s="521"/>
      <c r="F1155" s="521"/>
      <c r="G1155" s="522"/>
      <c r="H1155" s="410">
        <f>H1157</f>
        <v>24</v>
      </c>
      <c r="I1155" s="444" t="s">
        <v>70</v>
      </c>
    </row>
    <row r="1156" spans="1:9" s="11" customFormat="1" ht="11.25" customHeight="1" x14ac:dyDescent="0.2">
      <c r="A1156" s="316"/>
      <c r="B1156" s="317"/>
      <c r="C1156" s="213"/>
      <c r="D1156" s="214"/>
      <c r="E1156" s="214"/>
      <c r="F1156" s="254"/>
      <c r="G1156" s="259"/>
      <c r="H1156" s="209"/>
      <c r="I1156" s="210"/>
    </row>
    <row r="1157" spans="1:9" s="11" customFormat="1" ht="11.25" customHeight="1" x14ac:dyDescent="0.2">
      <c r="A1157" s="316"/>
      <c r="B1157" s="231"/>
      <c r="C1157" s="213">
        <v>24</v>
      </c>
      <c r="D1157" s="214"/>
      <c r="E1157" s="214"/>
      <c r="F1157" s="254"/>
      <c r="G1157" s="259">
        <f>C1157</f>
        <v>24</v>
      </c>
      <c r="H1157" s="216">
        <f>G1157</f>
        <v>24</v>
      </c>
      <c r="I1157" s="217" t="s">
        <v>71</v>
      </c>
    </row>
    <row r="1158" spans="1:9" s="11" customFormat="1" ht="11.25" customHeight="1" thickBot="1" x14ac:dyDescent="0.25">
      <c r="A1158" s="318"/>
      <c r="B1158" s="319"/>
      <c r="C1158" s="320"/>
      <c r="D1158" s="321"/>
      <c r="E1158" s="321"/>
      <c r="F1158" s="285"/>
      <c r="G1158" s="294"/>
      <c r="H1158" s="322"/>
      <c r="I1158" s="323"/>
    </row>
    <row r="1159" spans="1:9" s="12" customFormat="1" ht="12.75" customHeight="1" thickBot="1" x14ac:dyDescent="0.25">
      <c r="A1159" s="408" t="s">
        <v>69</v>
      </c>
      <c r="B1159" s="520" t="s">
        <v>74</v>
      </c>
      <c r="C1159" s="521"/>
      <c r="D1159" s="521"/>
      <c r="E1159" s="521"/>
      <c r="F1159" s="521"/>
      <c r="G1159" s="522"/>
      <c r="H1159" s="410">
        <f>H1161</f>
        <v>24</v>
      </c>
      <c r="I1159" s="444" t="s">
        <v>70</v>
      </c>
    </row>
    <row r="1160" spans="1:9" s="11" customFormat="1" ht="11.25" customHeight="1" x14ac:dyDescent="0.2">
      <c r="A1160" s="316"/>
      <c r="B1160" s="317"/>
      <c r="C1160" s="213"/>
      <c r="D1160" s="214"/>
      <c r="E1160" s="214"/>
      <c r="F1160" s="254"/>
      <c r="G1160" s="259"/>
      <c r="H1160" s="209"/>
      <c r="I1160" s="210"/>
    </row>
    <row r="1161" spans="1:9" s="11" customFormat="1" ht="11.25" customHeight="1" x14ac:dyDescent="0.2">
      <c r="A1161" s="316"/>
      <c r="B1161" s="231"/>
      <c r="C1161" s="213">
        <v>24</v>
      </c>
      <c r="D1161" s="214"/>
      <c r="E1161" s="214"/>
      <c r="F1161" s="254"/>
      <c r="G1161" s="259">
        <f>C1161</f>
        <v>24</v>
      </c>
      <c r="H1161" s="216">
        <f>G1161</f>
        <v>24</v>
      </c>
      <c r="I1161" s="217" t="s">
        <v>71</v>
      </c>
    </row>
    <row r="1162" spans="1:9" s="11" customFormat="1" ht="11.25" customHeight="1" thickBot="1" x14ac:dyDescent="0.25">
      <c r="A1162" s="318"/>
      <c r="B1162" s="319"/>
      <c r="C1162" s="320"/>
      <c r="D1162" s="321"/>
      <c r="E1162" s="321"/>
      <c r="F1162" s="285"/>
      <c r="G1162" s="294"/>
      <c r="H1162" s="322"/>
      <c r="I1162" s="323"/>
    </row>
    <row r="1163" spans="1:9" s="12" customFormat="1" ht="12.75" customHeight="1" thickBot="1" x14ac:dyDescent="0.25">
      <c r="A1163" s="408" t="s">
        <v>72</v>
      </c>
      <c r="B1163" s="520" t="s">
        <v>73</v>
      </c>
      <c r="C1163" s="521"/>
      <c r="D1163" s="521"/>
      <c r="E1163" s="521"/>
      <c r="F1163" s="521"/>
      <c r="G1163" s="522"/>
      <c r="H1163" s="410">
        <f>H1165</f>
        <v>24</v>
      </c>
      <c r="I1163" s="444" t="s">
        <v>70</v>
      </c>
    </row>
    <row r="1164" spans="1:9" s="11" customFormat="1" ht="12" customHeight="1" x14ac:dyDescent="0.2">
      <c r="A1164" s="316"/>
      <c r="B1164" s="317"/>
      <c r="C1164" s="213"/>
      <c r="D1164" s="214"/>
      <c r="E1164" s="214"/>
      <c r="F1164" s="254"/>
      <c r="G1164" s="259"/>
      <c r="H1164" s="209"/>
      <c r="I1164" s="210"/>
    </row>
    <row r="1165" spans="1:9" s="11" customFormat="1" ht="11.25" customHeight="1" x14ac:dyDescent="0.2">
      <c r="A1165" s="316"/>
      <c r="B1165" s="231"/>
      <c r="C1165" s="213">
        <v>24</v>
      </c>
      <c r="D1165" s="214"/>
      <c r="E1165" s="214"/>
      <c r="F1165" s="254"/>
      <c r="G1165" s="259">
        <f>C1165</f>
        <v>24</v>
      </c>
      <c r="H1165" s="216">
        <f>G1165</f>
        <v>24</v>
      </c>
      <c r="I1165" s="217" t="s">
        <v>71</v>
      </c>
    </row>
    <row r="1166" spans="1:9" s="11" customFormat="1" ht="11.25" customHeight="1" thickBot="1" x14ac:dyDescent="0.25">
      <c r="A1166" s="318"/>
      <c r="B1166" s="319"/>
      <c r="C1166" s="320"/>
      <c r="D1166" s="321"/>
      <c r="E1166" s="321"/>
      <c r="F1166" s="285"/>
      <c r="G1166" s="294"/>
      <c r="H1166" s="322"/>
      <c r="I1166" s="323"/>
    </row>
    <row r="1167" spans="1:9" s="12" customFormat="1" ht="12.75" customHeight="1" thickBot="1" x14ac:dyDescent="0.25">
      <c r="A1167" s="408" t="s">
        <v>75</v>
      </c>
      <c r="B1167" s="520" t="s">
        <v>78</v>
      </c>
      <c r="C1167" s="521"/>
      <c r="D1167" s="521"/>
      <c r="E1167" s="521"/>
      <c r="F1167" s="521"/>
      <c r="G1167" s="522"/>
      <c r="H1167" s="410">
        <f>SUM(H1169:H1169)</f>
        <v>1</v>
      </c>
      <c r="I1167" s="444" t="s">
        <v>31</v>
      </c>
    </row>
    <row r="1168" spans="1:9" s="11" customFormat="1" ht="11.25" customHeight="1" x14ac:dyDescent="0.2">
      <c r="A1168" s="316"/>
      <c r="B1168" s="317"/>
      <c r="C1168" s="213"/>
      <c r="D1168" s="214"/>
      <c r="E1168" s="214"/>
      <c r="F1168" s="254"/>
      <c r="G1168" s="259"/>
      <c r="H1168" s="209"/>
      <c r="I1168" s="210"/>
    </row>
    <row r="1169" spans="1:9" s="11" customFormat="1" ht="11.25" customHeight="1" x14ac:dyDescent="0.2">
      <c r="A1169" s="316"/>
      <c r="B1169" s="231"/>
      <c r="C1169" s="213">
        <v>1</v>
      </c>
      <c r="D1169" s="214"/>
      <c r="E1169" s="214"/>
      <c r="F1169" s="254"/>
      <c r="G1169" s="259">
        <f>C1169</f>
        <v>1</v>
      </c>
      <c r="H1169" s="216">
        <f>G1169</f>
        <v>1</v>
      </c>
      <c r="I1169" s="217" t="s">
        <v>71</v>
      </c>
    </row>
    <row r="1170" spans="1:9" s="11" customFormat="1" ht="11.25" customHeight="1" thickBot="1" x14ac:dyDescent="0.25">
      <c r="A1170" s="318"/>
      <c r="B1170" s="319"/>
      <c r="C1170" s="320"/>
      <c r="D1170" s="321"/>
      <c r="E1170" s="321"/>
      <c r="F1170" s="285"/>
      <c r="G1170" s="294"/>
      <c r="H1170" s="322"/>
      <c r="I1170" s="323"/>
    </row>
    <row r="1171" spans="1:9" s="12" customFormat="1" ht="12.75" customHeight="1" thickBot="1" x14ac:dyDescent="0.25">
      <c r="A1171" s="408" t="s">
        <v>76</v>
      </c>
      <c r="B1171" s="520" t="s">
        <v>84</v>
      </c>
      <c r="C1171" s="521"/>
      <c r="D1171" s="521"/>
      <c r="E1171" s="521"/>
      <c r="F1171" s="521"/>
      <c r="G1171" s="522"/>
      <c r="H1171" s="410">
        <f>H1173</f>
        <v>24</v>
      </c>
      <c r="I1171" s="444" t="s">
        <v>70</v>
      </c>
    </row>
    <row r="1172" spans="1:9" s="11" customFormat="1" ht="11.25" customHeight="1" x14ac:dyDescent="0.2">
      <c r="A1172" s="316"/>
      <c r="B1172" s="317"/>
      <c r="C1172" s="213"/>
      <c r="D1172" s="214"/>
      <c r="E1172" s="214"/>
      <c r="F1172" s="254"/>
      <c r="G1172" s="259"/>
      <c r="H1172" s="209"/>
      <c r="I1172" s="210"/>
    </row>
    <row r="1173" spans="1:9" s="11" customFormat="1" ht="11.25" customHeight="1" x14ac:dyDescent="0.2">
      <c r="A1173" s="316"/>
      <c r="B1173" s="231"/>
      <c r="C1173" s="213">
        <v>24</v>
      </c>
      <c r="D1173" s="214"/>
      <c r="E1173" s="214"/>
      <c r="F1173" s="254"/>
      <c r="G1173" s="259">
        <f>C1173</f>
        <v>24</v>
      </c>
      <c r="H1173" s="216">
        <f>G1173</f>
        <v>24</v>
      </c>
      <c r="I1173" s="217" t="s">
        <v>71</v>
      </c>
    </row>
    <row r="1174" spans="1:9" s="11" customFormat="1" ht="11.25" customHeight="1" thickBot="1" x14ac:dyDescent="0.25">
      <c r="A1174" s="318"/>
      <c r="B1174" s="319"/>
      <c r="C1174" s="320"/>
      <c r="D1174" s="321"/>
      <c r="E1174" s="321"/>
      <c r="F1174" s="285"/>
      <c r="G1174" s="294"/>
      <c r="H1174" s="322"/>
      <c r="I1174" s="323"/>
    </row>
    <row r="1175" spans="1:9" s="12" customFormat="1" ht="12.75" customHeight="1" thickBot="1" x14ac:dyDescent="0.25">
      <c r="A1175" s="408" t="s">
        <v>77</v>
      </c>
      <c r="B1175" s="520" t="s">
        <v>82</v>
      </c>
      <c r="C1175" s="521"/>
      <c r="D1175" s="521"/>
      <c r="E1175" s="521"/>
      <c r="F1175" s="521"/>
      <c r="G1175" s="522"/>
      <c r="H1175" s="410">
        <f>SUM(H1177:H1177)</f>
        <v>1</v>
      </c>
      <c r="I1175" s="444" t="s">
        <v>31</v>
      </c>
    </row>
    <row r="1176" spans="1:9" s="11" customFormat="1" ht="11.25" customHeight="1" x14ac:dyDescent="0.2">
      <c r="A1176" s="316"/>
      <c r="B1176" s="317"/>
      <c r="C1176" s="213"/>
      <c r="D1176" s="214"/>
      <c r="E1176" s="214"/>
      <c r="F1176" s="254"/>
      <c r="G1176" s="259"/>
      <c r="H1176" s="209"/>
      <c r="I1176" s="210"/>
    </row>
    <row r="1177" spans="1:9" s="11" customFormat="1" ht="11.25" customHeight="1" x14ac:dyDescent="0.2">
      <c r="A1177" s="316"/>
      <c r="B1177" s="231"/>
      <c r="C1177" s="213">
        <v>1</v>
      </c>
      <c r="D1177" s="214"/>
      <c r="E1177" s="214"/>
      <c r="F1177" s="254"/>
      <c r="G1177" s="259">
        <f>C1177</f>
        <v>1</v>
      </c>
      <c r="H1177" s="216">
        <f>G1177</f>
        <v>1</v>
      </c>
      <c r="I1177" s="217" t="s">
        <v>31</v>
      </c>
    </row>
    <row r="1178" spans="1:9" s="11" customFormat="1" ht="11.25" customHeight="1" thickBot="1" x14ac:dyDescent="0.25">
      <c r="A1178" s="318"/>
      <c r="B1178" s="319"/>
      <c r="C1178" s="320"/>
      <c r="D1178" s="321"/>
      <c r="E1178" s="321"/>
      <c r="F1178" s="285"/>
      <c r="G1178" s="294"/>
      <c r="H1178" s="322"/>
      <c r="I1178" s="323"/>
    </row>
    <row r="1179" spans="1:9" s="12" customFormat="1" ht="12.75" customHeight="1" thickBot="1" x14ac:dyDescent="0.25">
      <c r="A1179" s="408" t="s">
        <v>79</v>
      </c>
      <c r="B1179" s="520" t="s">
        <v>81</v>
      </c>
      <c r="C1179" s="521"/>
      <c r="D1179" s="521"/>
      <c r="E1179" s="521"/>
      <c r="F1179" s="521"/>
      <c r="G1179" s="522"/>
      <c r="H1179" s="410">
        <f>SUM(H1181:H1181)</f>
        <v>1</v>
      </c>
      <c r="I1179" s="444" t="s">
        <v>31</v>
      </c>
    </row>
    <row r="1180" spans="1:9" s="11" customFormat="1" ht="11.25" customHeight="1" x14ac:dyDescent="0.2">
      <c r="A1180" s="316"/>
      <c r="B1180" s="317"/>
      <c r="C1180" s="213"/>
      <c r="D1180" s="214"/>
      <c r="E1180" s="214"/>
      <c r="F1180" s="254"/>
      <c r="G1180" s="259"/>
      <c r="H1180" s="209"/>
      <c r="I1180" s="210"/>
    </row>
    <row r="1181" spans="1:9" s="11" customFormat="1" ht="11.25" customHeight="1" x14ac:dyDescent="0.2">
      <c r="A1181" s="316"/>
      <c r="B1181" s="231"/>
      <c r="C1181" s="213">
        <v>1</v>
      </c>
      <c r="D1181" s="214"/>
      <c r="E1181" s="214"/>
      <c r="F1181" s="254"/>
      <c r="G1181" s="259">
        <f>C1181</f>
        <v>1</v>
      </c>
      <c r="H1181" s="216">
        <f>G1181</f>
        <v>1</v>
      </c>
      <c r="I1181" s="217" t="s">
        <v>31</v>
      </c>
    </row>
    <row r="1182" spans="1:9" s="11" customFormat="1" ht="11.25" customHeight="1" thickBot="1" x14ac:dyDescent="0.25">
      <c r="A1182" s="318"/>
      <c r="B1182" s="319"/>
      <c r="C1182" s="320"/>
      <c r="D1182" s="321"/>
      <c r="E1182" s="321"/>
      <c r="F1182" s="285"/>
      <c r="G1182" s="294"/>
      <c r="H1182" s="322"/>
      <c r="I1182" s="323"/>
    </row>
    <row r="1183" spans="1:9" s="12" customFormat="1" ht="12.75" customHeight="1" thickBot="1" x14ac:dyDescent="0.25">
      <c r="A1183" s="408" t="s">
        <v>80</v>
      </c>
      <c r="B1183" s="520" t="s">
        <v>762</v>
      </c>
      <c r="C1183" s="521"/>
      <c r="D1183" s="521"/>
      <c r="E1183" s="521"/>
      <c r="F1183" s="521"/>
      <c r="G1183" s="522"/>
      <c r="H1183" s="410">
        <f>SUM(H1185:H1185)</f>
        <v>1</v>
      </c>
      <c r="I1183" s="444" t="s">
        <v>31</v>
      </c>
    </row>
    <row r="1184" spans="1:9" s="11" customFormat="1" ht="11.25" customHeight="1" x14ac:dyDescent="0.2">
      <c r="A1184" s="316"/>
      <c r="B1184" s="317"/>
      <c r="C1184" s="213"/>
      <c r="D1184" s="214"/>
      <c r="E1184" s="214"/>
      <c r="F1184" s="254"/>
      <c r="G1184" s="259"/>
      <c r="H1184" s="209"/>
      <c r="I1184" s="210"/>
    </row>
    <row r="1185" spans="1:9" s="11" customFormat="1" ht="11.25" customHeight="1" x14ac:dyDescent="0.2">
      <c r="A1185" s="316"/>
      <c r="B1185" s="231"/>
      <c r="C1185" s="213">
        <v>1</v>
      </c>
      <c r="D1185" s="214"/>
      <c r="E1185" s="214"/>
      <c r="F1185" s="254"/>
      <c r="G1185" s="259">
        <f>C1185</f>
        <v>1</v>
      </c>
      <c r="H1185" s="216">
        <f>G1185</f>
        <v>1</v>
      </c>
      <c r="I1185" s="217" t="s">
        <v>31</v>
      </c>
    </row>
    <row r="1186" spans="1:9" s="11" customFormat="1" ht="11.25" customHeight="1" thickBot="1" x14ac:dyDescent="0.25">
      <c r="A1186" s="318"/>
      <c r="B1186" s="319"/>
      <c r="C1186" s="320"/>
      <c r="D1186" s="321"/>
      <c r="E1186" s="321"/>
      <c r="F1186" s="285"/>
      <c r="G1186" s="294"/>
      <c r="H1186" s="322"/>
      <c r="I1186" s="323"/>
    </row>
    <row r="1187" spans="1:9" s="11" customFormat="1" ht="11.25" customHeight="1" thickBot="1" x14ac:dyDescent="0.25">
      <c r="A1187" s="316"/>
      <c r="B1187" s="231"/>
      <c r="C1187" s="213"/>
      <c r="D1187" s="214"/>
      <c r="E1187" s="214"/>
      <c r="F1187" s="254"/>
      <c r="G1187" s="259"/>
      <c r="H1187" s="216"/>
      <c r="I1187" s="217"/>
    </row>
    <row r="1188" spans="1:9" s="17" customFormat="1" ht="14.25" customHeight="1" thickBot="1" x14ac:dyDescent="0.25">
      <c r="A1188" s="389">
        <v>1.04</v>
      </c>
      <c r="B1188" s="390" t="s">
        <v>390</v>
      </c>
      <c r="C1188" s="391"/>
      <c r="D1188" s="404"/>
      <c r="E1188" s="404"/>
      <c r="F1188" s="404"/>
      <c r="G1188" s="405"/>
      <c r="H1188" s="406"/>
      <c r="I1188" s="407"/>
    </row>
    <row r="1189" spans="1:9" s="12" customFormat="1" ht="12.75" customHeight="1" thickBot="1" x14ac:dyDescent="0.25">
      <c r="A1189" s="408" t="s">
        <v>777</v>
      </c>
      <c r="B1189" s="520" t="s">
        <v>392</v>
      </c>
      <c r="C1189" s="521"/>
      <c r="D1189" s="521"/>
      <c r="E1189" s="521"/>
      <c r="F1189" s="521"/>
      <c r="G1189" s="522"/>
      <c r="H1189" s="410">
        <f>H1192</f>
        <v>3005.88</v>
      </c>
      <c r="I1189" s="444" t="s">
        <v>2</v>
      </c>
    </row>
    <row r="1190" spans="1:9" s="41" customFormat="1" x14ac:dyDescent="0.2">
      <c r="A1190" s="411"/>
      <c r="B1190" s="412"/>
      <c r="C1190" s="413"/>
      <c r="D1190" s="414"/>
      <c r="E1190" s="415"/>
      <c r="F1190" s="415"/>
      <c r="G1190" s="414"/>
      <c r="H1190" s="416"/>
      <c r="I1190" s="417"/>
    </row>
    <row r="1191" spans="1:9" s="42" customFormat="1" ht="13.5" customHeight="1" x14ac:dyDescent="0.2">
      <c r="A1191" s="411"/>
      <c r="B1191" s="589" t="s">
        <v>391</v>
      </c>
      <c r="C1191" s="418"/>
      <c r="D1191" s="419"/>
      <c r="E1191" s="420"/>
      <c r="F1191" s="421"/>
      <c r="G1191" s="421"/>
      <c r="H1191" s="422"/>
      <c r="I1191" s="423"/>
    </row>
    <row r="1192" spans="1:9" s="41" customFormat="1" ht="14.25" customHeight="1" x14ac:dyDescent="0.2">
      <c r="A1192" s="411"/>
      <c r="B1192" s="590" t="s">
        <v>391</v>
      </c>
      <c r="C1192" s="418">
        <v>1</v>
      </c>
      <c r="D1192" s="419"/>
      <c r="E1192" s="420"/>
      <c r="F1192" s="420" t="s">
        <v>173</v>
      </c>
      <c r="G1192" s="421">
        <f>1680+39.85+39.85+39.85+39.85+277.76+333.2+277.76+277.76</f>
        <v>3005.88</v>
      </c>
      <c r="H1192" s="422">
        <f>G1192*C1192</f>
        <v>3005.88</v>
      </c>
      <c r="I1192" s="423" t="s">
        <v>2</v>
      </c>
    </row>
    <row r="1193" spans="1:9" s="41" customFormat="1" ht="14.25" customHeight="1" thickBot="1" x14ac:dyDescent="0.25">
      <c r="A1193" s="411"/>
      <c r="B1193" s="424"/>
      <c r="C1193" s="413"/>
      <c r="D1193" s="425"/>
      <c r="E1193" s="426"/>
      <c r="F1193" s="414"/>
      <c r="G1193" s="414"/>
      <c r="H1193" s="416"/>
      <c r="I1193" s="427"/>
    </row>
    <row r="1194" spans="1:9" s="12" customFormat="1" ht="12.75" customHeight="1" thickBot="1" x14ac:dyDescent="0.25">
      <c r="A1194" s="408" t="s">
        <v>506</v>
      </c>
      <c r="B1194" s="520" t="s">
        <v>393</v>
      </c>
      <c r="C1194" s="521"/>
      <c r="D1194" s="521"/>
      <c r="E1194" s="521"/>
      <c r="F1194" s="521"/>
      <c r="G1194" s="522"/>
      <c r="H1194" s="410">
        <f>SUM(H1195:H1196)</f>
        <v>784.101</v>
      </c>
      <c r="I1194" s="444" t="s">
        <v>1</v>
      </c>
    </row>
    <row r="1195" spans="1:9" s="11" customFormat="1" x14ac:dyDescent="0.2">
      <c r="A1195" s="316"/>
      <c r="B1195" s="591" t="s">
        <v>391</v>
      </c>
      <c r="C1195" s="337"/>
      <c r="D1195" s="339"/>
      <c r="E1195" s="428"/>
      <c r="F1195" s="338"/>
      <c r="G1195" s="338"/>
      <c r="H1195" s="340"/>
      <c r="I1195" s="341"/>
    </row>
    <row r="1196" spans="1:9" s="10" customFormat="1" ht="14.25" customHeight="1" x14ac:dyDescent="0.2">
      <c r="A1196" s="203"/>
      <c r="B1196" s="542" t="s">
        <v>391</v>
      </c>
      <c r="C1196" s="337">
        <v>1</v>
      </c>
      <c r="D1196" s="339" t="s">
        <v>173</v>
      </c>
      <c r="E1196" s="338">
        <f>2135.82+3091.52</f>
        <v>5227.34</v>
      </c>
      <c r="F1196" s="428">
        <v>0.15</v>
      </c>
      <c r="G1196" s="338">
        <f>+E1196*F1196</f>
        <v>784.101</v>
      </c>
      <c r="H1196" s="340">
        <f>G1196*C1196</f>
        <v>784.101</v>
      </c>
      <c r="I1196" s="341" t="s">
        <v>1</v>
      </c>
    </row>
    <row r="1197" spans="1:9" s="11" customFormat="1" ht="13.5" thickBot="1" x14ac:dyDescent="0.25">
      <c r="A1197" s="318"/>
      <c r="B1197" s="430"/>
      <c r="C1197" s="320"/>
      <c r="D1197" s="285"/>
      <c r="E1197" s="285"/>
      <c r="F1197" s="285"/>
      <c r="G1197" s="294"/>
      <c r="H1197" s="402"/>
      <c r="I1197" s="403"/>
    </row>
    <row r="1198" spans="1:9" s="12" customFormat="1" ht="12.75" customHeight="1" thickBot="1" x14ac:dyDescent="0.25">
      <c r="A1198" s="408" t="s">
        <v>507</v>
      </c>
      <c r="B1198" s="520" t="s">
        <v>474</v>
      </c>
      <c r="C1198" s="521"/>
      <c r="D1198" s="521"/>
      <c r="E1198" s="521"/>
      <c r="F1198" s="521"/>
      <c r="G1198" s="522"/>
      <c r="H1198" s="410">
        <f>H1201</f>
        <v>3005.88</v>
      </c>
      <c r="I1198" s="444" t="s">
        <v>2</v>
      </c>
    </row>
    <row r="1199" spans="1:9" s="41" customFormat="1" x14ac:dyDescent="0.2">
      <c r="A1199" s="431"/>
      <c r="B1199" s="432"/>
      <c r="C1199" s="337"/>
      <c r="D1199" s="338"/>
      <c r="E1199" s="338"/>
      <c r="F1199" s="338"/>
      <c r="G1199" s="338"/>
      <c r="H1199" s="433"/>
      <c r="I1199" s="434"/>
    </row>
    <row r="1200" spans="1:9" s="44" customFormat="1" ht="14.25" customHeight="1" x14ac:dyDescent="0.2">
      <c r="A1200" s="435"/>
      <c r="B1200" s="591" t="s">
        <v>391</v>
      </c>
      <c r="C1200" s="337"/>
      <c r="D1200" s="339"/>
      <c r="E1200" s="428"/>
      <c r="F1200" s="338"/>
      <c r="G1200" s="338"/>
      <c r="H1200" s="340"/>
      <c r="I1200" s="341"/>
    </row>
    <row r="1201" spans="1:9" s="41" customFormat="1" ht="14.25" customHeight="1" x14ac:dyDescent="0.2">
      <c r="A1201" s="411"/>
      <c r="B1201" s="542" t="s">
        <v>391</v>
      </c>
      <c r="C1201" s="337">
        <v>1</v>
      </c>
      <c r="D1201" s="339" t="s">
        <v>173</v>
      </c>
      <c r="E1201" s="338"/>
      <c r="F1201" s="428"/>
      <c r="G1201" s="338">
        <f>G1192</f>
        <v>3005.88</v>
      </c>
      <c r="H1201" s="340">
        <f>G1201*C1201</f>
        <v>3005.88</v>
      </c>
      <c r="I1201" s="341" t="s">
        <v>2</v>
      </c>
    </row>
    <row r="1202" spans="1:9" s="41" customFormat="1" ht="14.25" customHeight="1" thickBot="1" x14ac:dyDescent="0.25">
      <c r="A1202" s="411"/>
      <c r="B1202" s="342"/>
      <c r="C1202" s="343"/>
      <c r="D1202" s="436"/>
      <c r="E1202" s="344"/>
      <c r="F1202" s="437"/>
      <c r="G1202" s="338"/>
      <c r="H1202" s="340"/>
      <c r="I1202" s="346"/>
    </row>
    <row r="1203" spans="1:9" s="12" customFormat="1" ht="12.75" customHeight="1" thickBot="1" x14ac:dyDescent="0.25">
      <c r="A1203" s="408" t="s">
        <v>508</v>
      </c>
      <c r="B1203" s="520" t="s">
        <v>756</v>
      </c>
      <c r="C1203" s="521"/>
      <c r="D1203" s="521"/>
      <c r="E1203" s="521"/>
      <c r="F1203" s="521"/>
      <c r="G1203" s="522"/>
      <c r="H1203" s="410">
        <f>SUM(H1205:H1272)</f>
        <v>2742.5498000000016</v>
      </c>
      <c r="I1203" s="444" t="s">
        <v>2</v>
      </c>
    </row>
    <row r="1204" spans="1:9" s="41" customFormat="1" ht="14.25" customHeight="1" x14ac:dyDescent="0.2">
      <c r="A1204" s="335"/>
      <c r="B1204" s="544" t="s">
        <v>439</v>
      </c>
      <c r="C1204" s="337"/>
      <c r="D1204" s="338"/>
      <c r="E1204" s="338"/>
      <c r="F1204" s="339"/>
      <c r="G1204" s="338"/>
      <c r="H1204" s="340"/>
      <c r="I1204" s="341"/>
    </row>
    <row r="1205" spans="1:9" s="41" customFormat="1" ht="14.25" customHeight="1" x14ac:dyDescent="0.2">
      <c r="A1205" s="335"/>
      <c r="B1205" s="620" t="s">
        <v>394</v>
      </c>
      <c r="C1205" s="337">
        <v>1</v>
      </c>
      <c r="D1205" s="339"/>
      <c r="E1205" s="428">
        <v>41.65</v>
      </c>
      <c r="F1205" s="428">
        <v>3.36</v>
      </c>
      <c r="G1205" s="338">
        <f t="shared" ref="G1205:G1268" si="70">PRODUCT(D1205:F1205)</f>
        <v>139.94399999999999</v>
      </c>
      <c r="H1205" s="340">
        <f t="shared" ref="H1205:H1268" si="71">G1205*C1205</f>
        <v>139.94399999999999</v>
      </c>
      <c r="I1205" s="341" t="s">
        <v>2</v>
      </c>
    </row>
    <row r="1206" spans="1:9" s="41" customFormat="1" ht="14.25" customHeight="1" x14ac:dyDescent="0.2">
      <c r="A1206" s="335"/>
      <c r="B1206" s="620" t="s">
        <v>395</v>
      </c>
      <c r="C1206" s="337">
        <v>1</v>
      </c>
      <c r="D1206" s="339"/>
      <c r="E1206" s="428">
        <v>41.65</v>
      </c>
      <c r="F1206" s="428">
        <v>2.8</v>
      </c>
      <c r="G1206" s="338">
        <f t="shared" si="70"/>
        <v>116.61999999999999</v>
      </c>
      <c r="H1206" s="340">
        <f t="shared" si="71"/>
        <v>116.61999999999999</v>
      </c>
      <c r="I1206" s="341" t="s">
        <v>2</v>
      </c>
    </row>
    <row r="1207" spans="1:9" s="41" customFormat="1" ht="14.25" customHeight="1" x14ac:dyDescent="0.2">
      <c r="A1207" s="335"/>
      <c r="B1207" s="620" t="s">
        <v>396</v>
      </c>
      <c r="C1207" s="337">
        <v>7</v>
      </c>
      <c r="D1207" s="339"/>
      <c r="E1207" s="428">
        <v>6.86</v>
      </c>
      <c r="F1207" s="428">
        <v>3.08</v>
      </c>
      <c r="G1207" s="338">
        <f t="shared" si="70"/>
        <v>21.128800000000002</v>
      </c>
      <c r="H1207" s="340">
        <f t="shared" si="71"/>
        <v>147.9016</v>
      </c>
      <c r="I1207" s="341" t="s">
        <v>2</v>
      </c>
    </row>
    <row r="1208" spans="1:9" s="41" customFormat="1" ht="14.25" customHeight="1" x14ac:dyDescent="0.2">
      <c r="A1208" s="335"/>
      <c r="B1208" s="620" t="s">
        <v>444</v>
      </c>
      <c r="C1208" s="337">
        <v>-12</v>
      </c>
      <c r="D1208" s="339"/>
      <c r="E1208" s="428">
        <v>2.25</v>
      </c>
      <c r="F1208" s="428">
        <v>1.1000000000000001</v>
      </c>
      <c r="G1208" s="338">
        <f t="shared" si="70"/>
        <v>2.4750000000000001</v>
      </c>
      <c r="H1208" s="340">
        <f t="shared" si="71"/>
        <v>-29.700000000000003</v>
      </c>
      <c r="I1208" s="341" t="s">
        <v>2</v>
      </c>
    </row>
    <row r="1209" spans="1:9" s="41" customFormat="1" ht="14.25" customHeight="1" x14ac:dyDescent="0.2">
      <c r="A1209" s="335"/>
      <c r="B1209" s="620"/>
      <c r="C1209" s="337">
        <v>-12</v>
      </c>
      <c r="D1209" s="339"/>
      <c r="E1209" s="428">
        <v>3.35</v>
      </c>
      <c r="F1209" s="428">
        <v>0.35</v>
      </c>
      <c r="G1209" s="338">
        <f t="shared" si="70"/>
        <v>1.1724999999999999</v>
      </c>
      <c r="H1209" s="340">
        <f t="shared" si="71"/>
        <v>-14.069999999999999</v>
      </c>
      <c r="I1209" s="341" t="s">
        <v>2</v>
      </c>
    </row>
    <row r="1210" spans="1:9" s="41" customFormat="1" ht="14.25" customHeight="1" x14ac:dyDescent="0.2">
      <c r="A1210" s="335"/>
      <c r="B1210" s="620"/>
      <c r="C1210" s="337">
        <v>-12</v>
      </c>
      <c r="D1210" s="339"/>
      <c r="E1210" s="428">
        <v>3.38</v>
      </c>
      <c r="F1210" s="428">
        <v>0.35</v>
      </c>
      <c r="G1210" s="338">
        <f t="shared" si="70"/>
        <v>1.1829999999999998</v>
      </c>
      <c r="H1210" s="340">
        <f t="shared" si="71"/>
        <v>-14.195999999999998</v>
      </c>
      <c r="I1210" s="341" t="s">
        <v>2</v>
      </c>
    </row>
    <row r="1211" spans="1:9" s="41" customFormat="1" ht="14.25" customHeight="1" x14ac:dyDescent="0.2">
      <c r="A1211" s="335"/>
      <c r="B1211" s="620"/>
      <c r="C1211" s="337">
        <v>-6</v>
      </c>
      <c r="D1211" s="339"/>
      <c r="E1211" s="428">
        <v>1</v>
      </c>
      <c r="F1211" s="428">
        <v>2.1</v>
      </c>
      <c r="G1211" s="338">
        <f t="shared" si="70"/>
        <v>2.1</v>
      </c>
      <c r="H1211" s="340">
        <f t="shared" si="71"/>
        <v>-12.600000000000001</v>
      </c>
      <c r="I1211" s="341" t="s">
        <v>2</v>
      </c>
    </row>
    <row r="1212" spans="1:9" s="41" customFormat="1" ht="14.25" customHeight="1" x14ac:dyDescent="0.2">
      <c r="A1212" s="335"/>
      <c r="B1212" s="620"/>
      <c r="C1212" s="337"/>
      <c r="D1212" s="339"/>
      <c r="E1212" s="428"/>
      <c r="F1212" s="428"/>
      <c r="G1212" s="338"/>
      <c r="H1212" s="340"/>
      <c r="I1212" s="341"/>
    </row>
    <row r="1213" spans="1:9" s="41" customFormat="1" ht="14.25" customHeight="1" x14ac:dyDescent="0.2">
      <c r="A1213" s="335"/>
      <c r="B1213" s="544" t="s">
        <v>440</v>
      </c>
      <c r="C1213" s="337"/>
      <c r="D1213" s="338"/>
      <c r="E1213" s="338"/>
      <c r="F1213" s="339"/>
      <c r="G1213" s="338"/>
      <c r="H1213" s="340"/>
      <c r="I1213" s="341"/>
    </row>
    <row r="1214" spans="1:9" s="41" customFormat="1" ht="14.25" customHeight="1" x14ac:dyDescent="0.2">
      <c r="A1214" s="335"/>
      <c r="B1214" s="620" t="s">
        <v>394</v>
      </c>
      <c r="C1214" s="337">
        <v>1</v>
      </c>
      <c r="D1214" s="339"/>
      <c r="E1214" s="428">
        <v>41.65</v>
      </c>
      <c r="F1214" s="428">
        <v>3.36</v>
      </c>
      <c r="G1214" s="338">
        <f t="shared" si="70"/>
        <v>139.94399999999999</v>
      </c>
      <c r="H1214" s="340">
        <f t="shared" si="71"/>
        <v>139.94399999999999</v>
      </c>
      <c r="I1214" s="341" t="s">
        <v>2</v>
      </c>
    </row>
    <row r="1215" spans="1:9" s="41" customFormat="1" ht="14.25" customHeight="1" x14ac:dyDescent="0.2">
      <c r="A1215" s="335"/>
      <c r="B1215" s="620" t="s">
        <v>395</v>
      </c>
      <c r="C1215" s="337">
        <v>1</v>
      </c>
      <c r="D1215" s="339"/>
      <c r="E1215" s="428">
        <v>41.65</v>
      </c>
      <c r="F1215" s="428">
        <v>2.8</v>
      </c>
      <c r="G1215" s="338">
        <f t="shared" si="70"/>
        <v>116.61999999999999</v>
      </c>
      <c r="H1215" s="340">
        <f t="shared" si="71"/>
        <v>116.61999999999999</v>
      </c>
      <c r="I1215" s="341" t="s">
        <v>2</v>
      </c>
    </row>
    <row r="1216" spans="1:9" s="41" customFormat="1" ht="14.25" customHeight="1" x14ac:dyDescent="0.2">
      <c r="A1216" s="335"/>
      <c r="B1216" s="620" t="s">
        <v>396</v>
      </c>
      <c r="C1216" s="337">
        <v>7</v>
      </c>
      <c r="D1216" s="339"/>
      <c r="E1216" s="428">
        <v>6.86</v>
      </c>
      <c r="F1216" s="428">
        <v>3.08</v>
      </c>
      <c r="G1216" s="338">
        <f t="shared" si="70"/>
        <v>21.128800000000002</v>
      </c>
      <c r="H1216" s="340">
        <f t="shared" si="71"/>
        <v>147.9016</v>
      </c>
      <c r="I1216" s="341" t="s">
        <v>2</v>
      </c>
    </row>
    <row r="1217" spans="1:9" s="41" customFormat="1" ht="14.25" customHeight="1" x14ac:dyDescent="0.2">
      <c r="A1217" s="335"/>
      <c r="B1217" s="620" t="s">
        <v>444</v>
      </c>
      <c r="C1217" s="337">
        <v>-12</v>
      </c>
      <c r="D1217" s="339"/>
      <c r="E1217" s="428">
        <v>2.25</v>
      </c>
      <c r="F1217" s="428">
        <v>1.1000000000000001</v>
      </c>
      <c r="G1217" s="338">
        <f t="shared" si="70"/>
        <v>2.4750000000000001</v>
      </c>
      <c r="H1217" s="340">
        <f t="shared" si="71"/>
        <v>-29.700000000000003</v>
      </c>
      <c r="I1217" s="341" t="s">
        <v>2</v>
      </c>
    </row>
    <row r="1218" spans="1:9" s="41" customFormat="1" ht="14.25" customHeight="1" x14ac:dyDescent="0.2">
      <c r="A1218" s="335"/>
      <c r="B1218" s="620"/>
      <c r="C1218" s="337">
        <v>-12</v>
      </c>
      <c r="D1218" s="339"/>
      <c r="E1218" s="428">
        <v>3.35</v>
      </c>
      <c r="F1218" s="428">
        <v>0.35</v>
      </c>
      <c r="G1218" s="338">
        <f t="shared" si="70"/>
        <v>1.1724999999999999</v>
      </c>
      <c r="H1218" s="340">
        <f t="shared" si="71"/>
        <v>-14.069999999999999</v>
      </c>
      <c r="I1218" s="341" t="s">
        <v>2</v>
      </c>
    </row>
    <row r="1219" spans="1:9" s="41" customFormat="1" ht="14.25" customHeight="1" x14ac:dyDescent="0.2">
      <c r="A1219" s="335"/>
      <c r="B1219" s="620"/>
      <c r="C1219" s="337">
        <v>-15</v>
      </c>
      <c r="D1219" s="339"/>
      <c r="E1219" s="428">
        <v>3.38</v>
      </c>
      <c r="F1219" s="428">
        <v>0.35</v>
      </c>
      <c r="G1219" s="338">
        <f t="shared" si="70"/>
        <v>1.1829999999999998</v>
      </c>
      <c r="H1219" s="340">
        <f t="shared" si="71"/>
        <v>-17.744999999999997</v>
      </c>
      <c r="I1219" s="341" t="s">
        <v>2</v>
      </c>
    </row>
    <row r="1220" spans="1:9" s="41" customFormat="1" ht="14.25" customHeight="1" x14ac:dyDescent="0.2">
      <c r="A1220" s="335"/>
      <c r="B1220" s="620"/>
      <c r="C1220" s="337">
        <v>-5</v>
      </c>
      <c r="D1220" s="339"/>
      <c r="E1220" s="428">
        <v>1</v>
      </c>
      <c r="F1220" s="428">
        <v>2.1</v>
      </c>
      <c r="G1220" s="338">
        <f t="shared" si="70"/>
        <v>2.1</v>
      </c>
      <c r="H1220" s="340">
        <f t="shared" si="71"/>
        <v>-10.5</v>
      </c>
      <c r="I1220" s="341" t="s">
        <v>2</v>
      </c>
    </row>
    <row r="1221" spans="1:9" s="41" customFormat="1" ht="14.25" customHeight="1" x14ac:dyDescent="0.2">
      <c r="A1221" s="335"/>
      <c r="B1221" s="620"/>
      <c r="C1221" s="337"/>
      <c r="D1221" s="339"/>
      <c r="E1221" s="428"/>
      <c r="F1221" s="428"/>
      <c r="G1221" s="338"/>
      <c r="H1221" s="340"/>
      <c r="I1221" s="341"/>
    </row>
    <row r="1222" spans="1:9" s="41" customFormat="1" ht="14.25" customHeight="1" x14ac:dyDescent="0.2">
      <c r="A1222" s="335"/>
      <c r="B1222" s="620"/>
      <c r="C1222" s="337"/>
      <c r="D1222" s="339"/>
      <c r="E1222" s="428"/>
      <c r="F1222" s="428"/>
      <c r="G1222" s="338"/>
      <c r="H1222" s="340"/>
      <c r="I1222" s="341"/>
    </row>
    <row r="1223" spans="1:9" s="41" customFormat="1" ht="14.25" customHeight="1" x14ac:dyDescent="0.2">
      <c r="A1223" s="335"/>
      <c r="B1223" s="544" t="s">
        <v>441</v>
      </c>
      <c r="C1223" s="337"/>
      <c r="D1223" s="338"/>
      <c r="E1223" s="338"/>
      <c r="F1223" s="339"/>
      <c r="G1223" s="338"/>
      <c r="H1223" s="340"/>
      <c r="I1223" s="341"/>
    </row>
    <row r="1224" spans="1:9" s="41" customFormat="1" ht="14.25" customHeight="1" x14ac:dyDescent="0.2">
      <c r="A1224" s="335"/>
      <c r="B1224" s="620" t="s">
        <v>394</v>
      </c>
      <c r="C1224" s="337">
        <v>1</v>
      </c>
      <c r="D1224" s="339"/>
      <c r="E1224" s="428">
        <v>34.72</v>
      </c>
      <c r="F1224" s="428">
        <v>3.36</v>
      </c>
      <c r="G1224" s="338">
        <f t="shared" si="70"/>
        <v>116.6592</v>
      </c>
      <c r="H1224" s="340">
        <f t="shared" si="71"/>
        <v>116.6592</v>
      </c>
      <c r="I1224" s="341" t="s">
        <v>2</v>
      </c>
    </row>
    <row r="1225" spans="1:9" s="41" customFormat="1" ht="14.25" customHeight="1" x14ac:dyDescent="0.2">
      <c r="A1225" s="335"/>
      <c r="B1225" s="620" t="s">
        <v>395</v>
      </c>
      <c r="C1225" s="337">
        <v>1</v>
      </c>
      <c r="D1225" s="339"/>
      <c r="E1225" s="428">
        <v>34.72</v>
      </c>
      <c r="F1225" s="428">
        <v>2.8</v>
      </c>
      <c r="G1225" s="338">
        <f t="shared" si="70"/>
        <v>97.215999999999994</v>
      </c>
      <c r="H1225" s="340">
        <f t="shared" si="71"/>
        <v>97.215999999999994</v>
      </c>
      <c r="I1225" s="341" t="s">
        <v>2</v>
      </c>
    </row>
    <row r="1226" spans="1:9" s="41" customFormat="1" ht="14.25" customHeight="1" x14ac:dyDescent="0.2">
      <c r="A1226" s="603"/>
      <c r="B1226" s="604" t="s">
        <v>396</v>
      </c>
      <c r="C1226" s="605">
        <v>6</v>
      </c>
      <c r="D1226" s="606"/>
      <c r="E1226" s="607">
        <v>6.86</v>
      </c>
      <c r="F1226" s="607">
        <v>3.08</v>
      </c>
      <c r="G1226" s="608">
        <f t="shared" si="70"/>
        <v>21.128800000000002</v>
      </c>
      <c r="H1226" s="609">
        <f t="shared" si="71"/>
        <v>126.77280000000002</v>
      </c>
      <c r="I1226" s="610" t="s">
        <v>2</v>
      </c>
    </row>
    <row r="1227" spans="1:9" s="41" customFormat="1" ht="14.25" customHeight="1" x14ac:dyDescent="0.2">
      <c r="A1227" s="335"/>
      <c r="B1227" s="620" t="s">
        <v>444</v>
      </c>
      <c r="C1227" s="337">
        <v>-10</v>
      </c>
      <c r="D1227" s="339"/>
      <c r="E1227" s="428">
        <v>2.25</v>
      </c>
      <c r="F1227" s="428">
        <v>1.1000000000000001</v>
      </c>
      <c r="G1227" s="338">
        <f t="shared" si="70"/>
        <v>2.4750000000000001</v>
      </c>
      <c r="H1227" s="340">
        <f t="shared" si="71"/>
        <v>-24.75</v>
      </c>
      <c r="I1227" s="341" t="s">
        <v>2</v>
      </c>
    </row>
    <row r="1228" spans="1:9" s="41" customFormat="1" ht="14.25" customHeight="1" x14ac:dyDescent="0.2">
      <c r="A1228" s="335"/>
      <c r="B1228" s="620"/>
      <c r="C1228" s="337">
        <v>-10</v>
      </c>
      <c r="D1228" s="339"/>
      <c r="E1228" s="428">
        <v>3.35</v>
      </c>
      <c r="F1228" s="428">
        <v>0.35</v>
      </c>
      <c r="G1228" s="338">
        <f t="shared" si="70"/>
        <v>1.1724999999999999</v>
      </c>
      <c r="H1228" s="340">
        <f t="shared" si="71"/>
        <v>-11.724999999999998</v>
      </c>
      <c r="I1228" s="341" t="s">
        <v>2</v>
      </c>
    </row>
    <row r="1229" spans="1:9" s="41" customFormat="1" ht="14.25" customHeight="1" x14ac:dyDescent="0.2">
      <c r="A1229" s="335"/>
      <c r="B1229" s="620"/>
      <c r="C1229" s="337">
        <v>-10</v>
      </c>
      <c r="D1229" s="339"/>
      <c r="E1229" s="428">
        <v>3.38</v>
      </c>
      <c r="F1229" s="428">
        <v>0.35</v>
      </c>
      <c r="G1229" s="338">
        <f t="shared" si="70"/>
        <v>1.1829999999999998</v>
      </c>
      <c r="H1229" s="340">
        <f t="shared" si="71"/>
        <v>-11.829999999999998</v>
      </c>
      <c r="I1229" s="341" t="s">
        <v>2</v>
      </c>
    </row>
    <row r="1230" spans="1:9" s="41" customFormat="1" ht="14.25" customHeight="1" x14ac:dyDescent="0.2">
      <c r="A1230" s="335"/>
      <c r="B1230" s="620"/>
      <c r="C1230" s="337">
        <v>-5</v>
      </c>
      <c r="D1230" s="339"/>
      <c r="E1230" s="428">
        <v>1</v>
      </c>
      <c r="F1230" s="428">
        <v>2.1</v>
      </c>
      <c r="G1230" s="338">
        <f t="shared" si="70"/>
        <v>2.1</v>
      </c>
      <c r="H1230" s="340">
        <f t="shared" si="71"/>
        <v>-10.5</v>
      </c>
      <c r="I1230" s="341" t="s">
        <v>2</v>
      </c>
    </row>
    <row r="1231" spans="1:9" s="41" customFormat="1" ht="14.25" customHeight="1" x14ac:dyDescent="0.2">
      <c r="A1231" s="335"/>
      <c r="B1231" s="620"/>
      <c r="C1231" s="337"/>
      <c r="D1231" s="339"/>
      <c r="E1231" s="428"/>
      <c r="F1231" s="428"/>
      <c r="G1231" s="338"/>
      <c r="H1231" s="340"/>
      <c r="I1231" s="341"/>
    </row>
    <row r="1232" spans="1:9" s="41" customFormat="1" ht="14.25" customHeight="1" x14ac:dyDescent="0.2">
      <c r="A1232" s="335"/>
      <c r="B1232" s="544" t="s">
        <v>442</v>
      </c>
      <c r="C1232" s="337"/>
      <c r="D1232" s="338"/>
      <c r="E1232" s="338"/>
      <c r="F1232" s="339"/>
      <c r="G1232" s="338"/>
      <c r="H1232" s="340"/>
      <c r="I1232" s="341"/>
    </row>
    <row r="1233" spans="1:9" s="41" customFormat="1" ht="14.25" customHeight="1" x14ac:dyDescent="0.2">
      <c r="A1233" s="335"/>
      <c r="B1233" s="620" t="s">
        <v>394</v>
      </c>
      <c r="C1233" s="337">
        <v>1</v>
      </c>
      <c r="D1233" s="339"/>
      <c r="E1233" s="428">
        <v>34.72</v>
      </c>
      <c r="F1233" s="428">
        <v>3.36</v>
      </c>
      <c r="G1233" s="338">
        <f t="shared" si="70"/>
        <v>116.6592</v>
      </c>
      <c r="H1233" s="340">
        <f t="shared" si="71"/>
        <v>116.6592</v>
      </c>
      <c r="I1233" s="341" t="s">
        <v>2</v>
      </c>
    </row>
    <row r="1234" spans="1:9" s="41" customFormat="1" ht="14.25" customHeight="1" x14ac:dyDescent="0.2">
      <c r="A1234" s="335"/>
      <c r="B1234" s="620" t="s">
        <v>395</v>
      </c>
      <c r="C1234" s="337">
        <v>1</v>
      </c>
      <c r="D1234" s="339"/>
      <c r="E1234" s="428">
        <v>34.72</v>
      </c>
      <c r="F1234" s="428">
        <v>2.8</v>
      </c>
      <c r="G1234" s="338">
        <f t="shared" si="70"/>
        <v>97.215999999999994</v>
      </c>
      <c r="H1234" s="340">
        <f t="shared" si="71"/>
        <v>97.215999999999994</v>
      </c>
      <c r="I1234" s="341" t="s">
        <v>2</v>
      </c>
    </row>
    <row r="1235" spans="1:9" s="41" customFormat="1" ht="14.25" customHeight="1" x14ac:dyDescent="0.2">
      <c r="A1235" s="335"/>
      <c r="B1235" s="620" t="s">
        <v>396</v>
      </c>
      <c r="C1235" s="337">
        <v>6</v>
      </c>
      <c r="D1235" s="339"/>
      <c r="E1235" s="428">
        <v>6.86</v>
      </c>
      <c r="F1235" s="428">
        <v>3.08</v>
      </c>
      <c r="G1235" s="338">
        <f t="shared" si="70"/>
        <v>21.128800000000002</v>
      </c>
      <c r="H1235" s="340">
        <f t="shared" si="71"/>
        <v>126.77280000000002</v>
      </c>
      <c r="I1235" s="341" t="s">
        <v>2</v>
      </c>
    </row>
    <row r="1236" spans="1:9" s="41" customFormat="1" ht="14.25" customHeight="1" x14ac:dyDescent="0.2">
      <c r="A1236" s="335"/>
      <c r="B1236" s="620" t="s">
        <v>444</v>
      </c>
      <c r="C1236" s="337">
        <v>-10</v>
      </c>
      <c r="D1236" s="339"/>
      <c r="E1236" s="428">
        <v>2.25</v>
      </c>
      <c r="F1236" s="428">
        <v>1.1000000000000001</v>
      </c>
      <c r="G1236" s="338">
        <f t="shared" si="70"/>
        <v>2.4750000000000001</v>
      </c>
      <c r="H1236" s="340">
        <f t="shared" si="71"/>
        <v>-24.75</v>
      </c>
      <c r="I1236" s="341" t="s">
        <v>2</v>
      </c>
    </row>
    <row r="1237" spans="1:9" s="41" customFormat="1" ht="14.25" customHeight="1" x14ac:dyDescent="0.2">
      <c r="A1237" s="335"/>
      <c r="B1237" s="620"/>
      <c r="C1237" s="337">
        <v>-10</v>
      </c>
      <c r="D1237" s="339"/>
      <c r="E1237" s="428">
        <v>3.35</v>
      </c>
      <c r="F1237" s="428">
        <v>0.35</v>
      </c>
      <c r="G1237" s="338">
        <f t="shared" si="70"/>
        <v>1.1724999999999999</v>
      </c>
      <c r="H1237" s="340">
        <f t="shared" si="71"/>
        <v>-11.724999999999998</v>
      </c>
      <c r="I1237" s="341" t="s">
        <v>2</v>
      </c>
    </row>
    <row r="1238" spans="1:9" s="41" customFormat="1" ht="14.25" customHeight="1" x14ac:dyDescent="0.2">
      <c r="A1238" s="335"/>
      <c r="B1238" s="620"/>
      <c r="C1238" s="337">
        <v>-10</v>
      </c>
      <c r="D1238" s="339"/>
      <c r="E1238" s="428">
        <v>3.38</v>
      </c>
      <c r="F1238" s="428">
        <v>0.35</v>
      </c>
      <c r="G1238" s="338">
        <f t="shared" si="70"/>
        <v>1.1829999999999998</v>
      </c>
      <c r="H1238" s="340">
        <f t="shared" si="71"/>
        <v>-11.829999999999998</v>
      </c>
      <c r="I1238" s="341" t="s">
        <v>2</v>
      </c>
    </row>
    <row r="1239" spans="1:9" s="41" customFormat="1" ht="14.25" customHeight="1" x14ac:dyDescent="0.2">
      <c r="A1239" s="335"/>
      <c r="B1239" s="620"/>
      <c r="C1239" s="337">
        <v>-5</v>
      </c>
      <c r="D1239" s="339"/>
      <c r="E1239" s="428">
        <v>1</v>
      </c>
      <c r="F1239" s="428">
        <v>2.1</v>
      </c>
      <c r="G1239" s="338">
        <f t="shared" si="70"/>
        <v>2.1</v>
      </c>
      <c r="H1239" s="340">
        <f t="shared" si="71"/>
        <v>-10.5</v>
      </c>
      <c r="I1239" s="341" t="s">
        <v>2</v>
      </c>
    </row>
    <row r="1240" spans="1:9" s="41" customFormat="1" ht="14.25" customHeight="1" x14ac:dyDescent="0.2">
      <c r="A1240" s="335"/>
      <c r="B1240" s="620"/>
      <c r="C1240" s="337"/>
      <c r="D1240" s="339"/>
      <c r="E1240" s="428"/>
      <c r="F1240" s="428"/>
      <c r="G1240" s="338"/>
      <c r="H1240" s="340"/>
      <c r="I1240" s="341"/>
    </row>
    <row r="1241" spans="1:9" s="41" customFormat="1" ht="14.25" customHeight="1" x14ac:dyDescent="0.2">
      <c r="A1241" s="335"/>
      <c r="B1241" s="544" t="s">
        <v>446</v>
      </c>
      <c r="C1241" s="337"/>
      <c r="D1241" s="339"/>
      <c r="E1241" s="428"/>
      <c r="F1241" s="428"/>
      <c r="G1241" s="338"/>
      <c r="H1241" s="340"/>
      <c r="I1241" s="341"/>
    </row>
    <row r="1242" spans="1:9" s="41" customFormat="1" ht="14.25" customHeight="1" x14ac:dyDescent="0.2">
      <c r="A1242" s="335"/>
      <c r="B1242" s="620" t="s">
        <v>394</v>
      </c>
      <c r="C1242" s="337">
        <v>3</v>
      </c>
      <c r="D1242" s="339"/>
      <c r="E1242" s="428">
        <v>13.99</v>
      </c>
      <c r="F1242" s="428">
        <v>3.36</v>
      </c>
      <c r="G1242" s="338">
        <f t="shared" si="70"/>
        <v>47.006399999999999</v>
      </c>
      <c r="H1242" s="340">
        <f t="shared" si="71"/>
        <v>141.01920000000001</v>
      </c>
      <c r="I1242" s="341" t="s">
        <v>2</v>
      </c>
    </row>
    <row r="1243" spans="1:9" s="41" customFormat="1" ht="14.25" customHeight="1" x14ac:dyDescent="0.2">
      <c r="A1243" s="335"/>
      <c r="B1243" s="620" t="s">
        <v>395</v>
      </c>
      <c r="C1243" s="337">
        <v>3</v>
      </c>
      <c r="D1243" s="339"/>
      <c r="E1243" s="428">
        <v>13.99</v>
      </c>
      <c r="F1243" s="428">
        <v>2.8</v>
      </c>
      <c r="G1243" s="338">
        <f t="shared" si="70"/>
        <v>39.171999999999997</v>
      </c>
      <c r="H1243" s="340">
        <f t="shared" si="71"/>
        <v>117.51599999999999</v>
      </c>
      <c r="I1243" s="341" t="s">
        <v>2</v>
      </c>
    </row>
    <row r="1244" spans="1:9" s="41" customFormat="1" ht="14.25" customHeight="1" x14ac:dyDescent="0.2">
      <c r="A1244" s="335"/>
      <c r="B1244" s="620" t="s">
        <v>396</v>
      </c>
      <c r="C1244" s="337">
        <v>9</v>
      </c>
      <c r="D1244" s="339"/>
      <c r="E1244" s="428">
        <v>6.86</v>
      </c>
      <c r="F1244" s="428">
        <v>3.08</v>
      </c>
      <c r="G1244" s="338">
        <f t="shared" si="70"/>
        <v>21.128800000000002</v>
      </c>
      <c r="H1244" s="340">
        <f t="shared" si="71"/>
        <v>190.15920000000003</v>
      </c>
      <c r="I1244" s="341" t="s">
        <v>2</v>
      </c>
    </row>
    <row r="1245" spans="1:9" s="41" customFormat="1" ht="14.25" customHeight="1" x14ac:dyDescent="0.2">
      <c r="A1245" s="335"/>
      <c r="B1245" s="620" t="s">
        <v>444</v>
      </c>
      <c r="C1245" s="337">
        <v>-12</v>
      </c>
      <c r="D1245" s="339"/>
      <c r="E1245" s="428">
        <v>2.25</v>
      </c>
      <c r="F1245" s="428">
        <v>1.1000000000000001</v>
      </c>
      <c r="G1245" s="338">
        <f t="shared" si="70"/>
        <v>2.4750000000000001</v>
      </c>
      <c r="H1245" s="340">
        <f t="shared" si="71"/>
        <v>-29.700000000000003</v>
      </c>
      <c r="I1245" s="341" t="s">
        <v>2</v>
      </c>
    </row>
    <row r="1246" spans="1:9" s="41" customFormat="1" ht="14.25" customHeight="1" x14ac:dyDescent="0.2">
      <c r="A1246" s="335"/>
      <c r="B1246" s="620"/>
      <c r="C1246" s="337">
        <v>-12</v>
      </c>
      <c r="D1246" s="339"/>
      <c r="E1246" s="428">
        <v>3.35</v>
      </c>
      <c r="F1246" s="428">
        <v>0.35</v>
      </c>
      <c r="G1246" s="338">
        <f t="shared" si="70"/>
        <v>1.1724999999999999</v>
      </c>
      <c r="H1246" s="340">
        <f t="shared" si="71"/>
        <v>-14.069999999999999</v>
      </c>
      <c r="I1246" s="341" t="s">
        <v>2</v>
      </c>
    </row>
    <row r="1247" spans="1:9" s="41" customFormat="1" ht="14.25" customHeight="1" x14ac:dyDescent="0.2">
      <c r="A1247" s="335"/>
      <c r="B1247" s="620"/>
      <c r="C1247" s="337">
        <v>-12</v>
      </c>
      <c r="D1247" s="339"/>
      <c r="E1247" s="428">
        <v>3.38</v>
      </c>
      <c r="F1247" s="428">
        <v>0.35</v>
      </c>
      <c r="G1247" s="338">
        <f t="shared" si="70"/>
        <v>1.1829999999999998</v>
      </c>
      <c r="H1247" s="340">
        <f t="shared" si="71"/>
        <v>-14.195999999999998</v>
      </c>
      <c r="I1247" s="341" t="s">
        <v>2</v>
      </c>
    </row>
    <row r="1248" spans="1:9" s="41" customFormat="1" ht="14.25" customHeight="1" x14ac:dyDescent="0.2">
      <c r="A1248" s="335"/>
      <c r="B1248" s="620"/>
      <c r="C1248" s="337">
        <v>-6</v>
      </c>
      <c r="D1248" s="339"/>
      <c r="E1248" s="428">
        <v>1</v>
      </c>
      <c r="F1248" s="428">
        <v>2.1</v>
      </c>
      <c r="G1248" s="338">
        <f t="shared" si="70"/>
        <v>2.1</v>
      </c>
      <c r="H1248" s="340">
        <f t="shared" si="71"/>
        <v>-12.600000000000001</v>
      </c>
      <c r="I1248" s="341" t="s">
        <v>2</v>
      </c>
    </row>
    <row r="1249" spans="1:9" s="41" customFormat="1" ht="14.25" customHeight="1" x14ac:dyDescent="0.2">
      <c r="A1249" s="335"/>
      <c r="B1249" s="544" t="s">
        <v>447</v>
      </c>
      <c r="C1249" s="337"/>
      <c r="D1249" s="339"/>
      <c r="E1249" s="428"/>
      <c r="F1249" s="428"/>
      <c r="G1249" s="338"/>
      <c r="H1249" s="340"/>
      <c r="I1249" s="341"/>
    </row>
    <row r="1250" spans="1:9" s="41" customFormat="1" ht="14.25" customHeight="1" x14ac:dyDescent="0.2">
      <c r="A1250" s="335"/>
      <c r="B1250" s="620" t="s">
        <v>394</v>
      </c>
      <c r="C1250" s="337">
        <v>3</v>
      </c>
      <c r="D1250" s="339"/>
      <c r="E1250" s="428">
        <v>13.99</v>
      </c>
      <c r="F1250" s="428">
        <v>3.36</v>
      </c>
      <c r="G1250" s="338">
        <f t="shared" si="70"/>
        <v>47.006399999999999</v>
      </c>
      <c r="H1250" s="340">
        <f t="shared" si="71"/>
        <v>141.01920000000001</v>
      </c>
      <c r="I1250" s="341" t="s">
        <v>2</v>
      </c>
    </row>
    <row r="1251" spans="1:9" s="41" customFormat="1" ht="14.25" customHeight="1" x14ac:dyDescent="0.2">
      <c r="A1251" s="335"/>
      <c r="B1251" s="620" t="s">
        <v>395</v>
      </c>
      <c r="C1251" s="337">
        <v>3</v>
      </c>
      <c r="D1251" s="339"/>
      <c r="E1251" s="428">
        <v>13.99</v>
      </c>
      <c r="F1251" s="428">
        <v>2.8</v>
      </c>
      <c r="G1251" s="338">
        <f t="shared" si="70"/>
        <v>39.171999999999997</v>
      </c>
      <c r="H1251" s="340">
        <f t="shared" si="71"/>
        <v>117.51599999999999</v>
      </c>
      <c r="I1251" s="341" t="s">
        <v>2</v>
      </c>
    </row>
    <row r="1252" spans="1:9" s="41" customFormat="1" ht="14.25" customHeight="1" x14ac:dyDescent="0.2">
      <c r="A1252" s="335"/>
      <c r="B1252" s="620" t="s">
        <v>396</v>
      </c>
      <c r="C1252" s="337">
        <v>9</v>
      </c>
      <c r="D1252" s="339"/>
      <c r="E1252" s="428">
        <v>6.86</v>
      </c>
      <c r="F1252" s="428">
        <v>3.08</v>
      </c>
      <c r="G1252" s="338">
        <f t="shared" si="70"/>
        <v>21.128800000000002</v>
      </c>
      <c r="H1252" s="340">
        <f t="shared" si="71"/>
        <v>190.15920000000003</v>
      </c>
      <c r="I1252" s="341" t="s">
        <v>2</v>
      </c>
    </row>
    <row r="1253" spans="1:9" s="41" customFormat="1" ht="14.25" customHeight="1" x14ac:dyDescent="0.2">
      <c r="A1253" s="335"/>
      <c r="B1253" s="620" t="s">
        <v>444</v>
      </c>
      <c r="C1253" s="337">
        <v>-12</v>
      </c>
      <c r="D1253" s="339"/>
      <c r="E1253" s="428">
        <v>2.25</v>
      </c>
      <c r="F1253" s="428">
        <v>1.1000000000000001</v>
      </c>
      <c r="G1253" s="338">
        <f t="shared" si="70"/>
        <v>2.4750000000000001</v>
      </c>
      <c r="H1253" s="340">
        <f t="shared" si="71"/>
        <v>-29.700000000000003</v>
      </c>
      <c r="I1253" s="341" t="s">
        <v>2</v>
      </c>
    </row>
    <row r="1254" spans="1:9" s="41" customFormat="1" ht="14.25" customHeight="1" x14ac:dyDescent="0.2">
      <c r="A1254" s="335"/>
      <c r="B1254" s="620"/>
      <c r="C1254" s="337">
        <v>-12</v>
      </c>
      <c r="D1254" s="339"/>
      <c r="E1254" s="428">
        <v>3.35</v>
      </c>
      <c r="F1254" s="428">
        <v>0.35</v>
      </c>
      <c r="G1254" s="338">
        <f t="shared" si="70"/>
        <v>1.1724999999999999</v>
      </c>
      <c r="H1254" s="340">
        <f t="shared" si="71"/>
        <v>-14.069999999999999</v>
      </c>
      <c r="I1254" s="341" t="s">
        <v>2</v>
      </c>
    </row>
    <row r="1255" spans="1:9" s="41" customFormat="1" ht="14.25" customHeight="1" x14ac:dyDescent="0.2">
      <c r="A1255" s="335"/>
      <c r="B1255" s="620"/>
      <c r="C1255" s="337">
        <v>-12</v>
      </c>
      <c r="D1255" s="339"/>
      <c r="E1255" s="428">
        <v>3.38</v>
      </c>
      <c r="F1255" s="428">
        <v>0.35</v>
      </c>
      <c r="G1255" s="338">
        <f t="shared" si="70"/>
        <v>1.1829999999999998</v>
      </c>
      <c r="H1255" s="340">
        <f t="shared" si="71"/>
        <v>-14.195999999999998</v>
      </c>
      <c r="I1255" s="341" t="s">
        <v>2</v>
      </c>
    </row>
    <row r="1256" spans="1:9" s="41" customFormat="1" ht="14.25" customHeight="1" x14ac:dyDescent="0.2">
      <c r="A1256" s="335"/>
      <c r="B1256" s="620"/>
      <c r="C1256" s="337">
        <v>-6</v>
      </c>
      <c r="D1256" s="339"/>
      <c r="E1256" s="428">
        <v>1</v>
      </c>
      <c r="F1256" s="428">
        <v>2.1</v>
      </c>
      <c r="G1256" s="338">
        <f t="shared" si="70"/>
        <v>2.1</v>
      </c>
      <c r="H1256" s="340">
        <f t="shared" si="71"/>
        <v>-12.600000000000001</v>
      </c>
      <c r="I1256" s="341" t="s">
        <v>2</v>
      </c>
    </row>
    <row r="1257" spans="1:9" s="41" customFormat="1" ht="14.25" customHeight="1" x14ac:dyDescent="0.2">
      <c r="A1257" s="335"/>
      <c r="B1257" s="544" t="s">
        <v>448</v>
      </c>
      <c r="C1257" s="337"/>
      <c r="D1257" s="339"/>
      <c r="E1257" s="428"/>
      <c r="F1257" s="428"/>
      <c r="G1257" s="338"/>
      <c r="H1257" s="340"/>
      <c r="I1257" s="341"/>
    </row>
    <row r="1258" spans="1:9" s="41" customFormat="1" ht="14.25" customHeight="1" x14ac:dyDescent="0.2">
      <c r="A1258" s="335"/>
      <c r="B1258" s="620" t="s">
        <v>394</v>
      </c>
      <c r="C1258" s="337">
        <v>3</v>
      </c>
      <c r="D1258" s="339"/>
      <c r="E1258" s="428">
        <v>13.99</v>
      </c>
      <c r="F1258" s="428">
        <v>3.36</v>
      </c>
      <c r="G1258" s="338">
        <f t="shared" si="70"/>
        <v>47.006399999999999</v>
      </c>
      <c r="H1258" s="340">
        <f t="shared" si="71"/>
        <v>141.01920000000001</v>
      </c>
      <c r="I1258" s="341" t="s">
        <v>2</v>
      </c>
    </row>
    <row r="1259" spans="1:9" s="41" customFormat="1" ht="14.25" customHeight="1" x14ac:dyDescent="0.2">
      <c r="A1259" s="335"/>
      <c r="B1259" s="620" t="s">
        <v>395</v>
      </c>
      <c r="C1259" s="337">
        <v>3</v>
      </c>
      <c r="D1259" s="339"/>
      <c r="E1259" s="428">
        <v>13.99</v>
      </c>
      <c r="F1259" s="428">
        <v>2.8</v>
      </c>
      <c r="G1259" s="338">
        <f t="shared" si="70"/>
        <v>39.171999999999997</v>
      </c>
      <c r="H1259" s="340">
        <f t="shared" si="71"/>
        <v>117.51599999999999</v>
      </c>
      <c r="I1259" s="341" t="s">
        <v>2</v>
      </c>
    </row>
    <row r="1260" spans="1:9" s="41" customFormat="1" ht="14.25" customHeight="1" x14ac:dyDescent="0.2">
      <c r="A1260" s="335"/>
      <c r="B1260" s="620" t="s">
        <v>396</v>
      </c>
      <c r="C1260" s="337">
        <v>9</v>
      </c>
      <c r="D1260" s="339"/>
      <c r="E1260" s="428">
        <v>6.86</v>
      </c>
      <c r="F1260" s="428">
        <v>3.08</v>
      </c>
      <c r="G1260" s="338">
        <f t="shared" si="70"/>
        <v>21.128800000000002</v>
      </c>
      <c r="H1260" s="340">
        <f t="shared" si="71"/>
        <v>190.15920000000003</v>
      </c>
      <c r="I1260" s="341" t="s">
        <v>2</v>
      </c>
    </row>
    <row r="1261" spans="1:9" s="41" customFormat="1" ht="14.25" customHeight="1" x14ac:dyDescent="0.2">
      <c r="A1261" s="335"/>
      <c r="B1261" s="620" t="s">
        <v>444</v>
      </c>
      <c r="C1261" s="337">
        <v>-12</v>
      </c>
      <c r="D1261" s="339"/>
      <c r="E1261" s="428">
        <v>2.25</v>
      </c>
      <c r="F1261" s="428">
        <v>1.1000000000000001</v>
      </c>
      <c r="G1261" s="338">
        <f t="shared" si="70"/>
        <v>2.4750000000000001</v>
      </c>
      <c r="H1261" s="340">
        <f t="shared" si="71"/>
        <v>-29.700000000000003</v>
      </c>
      <c r="I1261" s="341" t="s">
        <v>2</v>
      </c>
    </row>
    <row r="1262" spans="1:9" s="41" customFormat="1" ht="14.25" customHeight="1" x14ac:dyDescent="0.2">
      <c r="A1262" s="335"/>
      <c r="B1262" s="620"/>
      <c r="C1262" s="337">
        <v>-12</v>
      </c>
      <c r="D1262" s="339"/>
      <c r="E1262" s="428">
        <v>3.35</v>
      </c>
      <c r="F1262" s="428">
        <v>0.35</v>
      </c>
      <c r="G1262" s="338">
        <f t="shared" si="70"/>
        <v>1.1724999999999999</v>
      </c>
      <c r="H1262" s="340">
        <f t="shared" si="71"/>
        <v>-14.069999999999999</v>
      </c>
      <c r="I1262" s="341" t="s">
        <v>2</v>
      </c>
    </row>
    <row r="1263" spans="1:9" s="41" customFormat="1" ht="14.25" customHeight="1" x14ac:dyDescent="0.2">
      <c r="A1263" s="335"/>
      <c r="B1263" s="620"/>
      <c r="C1263" s="337">
        <v>-12</v>
      </c>
      <c r="D1263" s="339"/>
      <c r="E1263" s="428">
        <v>3.38</v>
      </c>
      <c r="F1263" s="428">
        <v>0.35</v>
      </c>
      <c r="G1263" s="338">
        <f t="shared" si="70"/>
        <v>1.1829999999999998</v>
      </c>
      <c r="H1263" s="340">
        <f t="shared" si="71"/>
        <v>-14.195999999999998</v>
      </c>
      <c r="I1263" s="341" t="s">
        <v>2</v>
      </c>
    </row>
    <row r="1264" spans="1:9" s="41" customFormat="1" ht="14.25" customHeight="1" x14ac:dyDescent="0.2">
      <c r="A1264" s="335"/>
      <c r="B1264" s="620"/>
      <c r="C1264" s="337">
        <v>-6</v>
      </c>
      <c r="D1264" s="339"/>
      <c r="E1264" s="428">
        <v>1</v>
      </c>
      <c r="F1264" s="428">
        <v>2.1</v>
      </c>
      <c r="G1264" s="338">
        <f t="shared" si="70"/>
        <v>2.1</v>
      </c>
      <c r="H1264" s="340">
        <f t="shared" si="71"/>
        <v>-12.600000000000001</v>
      </c>
      <c r="I1264" s="341" t="s">
        <v>2</v>
      </c>
    </row>
    <row r="1265" spans="1:9" s="41" customFormat="1" ht="14.25" customHeight="1" x14ac:dyDescent="0.2">
      <c r="A1265" s="335"/>
      <c r="B1265" s="544" t="s">
        <v>449</v>
      </c>
      <c r="C1265" s="337"/>
      <c r="D1265" s="339"/>
      <c r="E1265" s="428"/>
      <c r="F1265" s="428"/>
      <c r="G1265" s="338"/>
      <c r="H1265" s="340"/>
      <c r="I1265" s="341"/>
    </row>
    <row r="1266" spans="1:9" s="41" customFormat="1" ht="14.25" customHeight="1" x14ac:dyDescent="0.2">
      <c r="A1266" s="335"/>
      <c r="B1266" s="620" t="s">
        <v>394</v>
      </c>
      <c r="C1266" s="337">
        <v>3</v>
      </c>
      <c r="D1266" s="339"/>
      <c r="E1266" s="428">
        <v>13.99</v>
      </c>
      <c r="F1266" s="428">
        <v>3.36</v>
      </c>
      <c r="G1266" s="338">
        <f t="shared" si="70"/>
        <v>47.006399999999999</v>
      </c>
      <c r="H1266" s="340">
        <f t="shared" si="71"/>
        <v>141.01920000000001</v>
      </c>
      <c r="I1266" s="341" t="s">
        <v>2</v>
      </c>
    </row>
    <row r="1267" spans="1:9" s="41" customFormat="1" ht="14.25" customHeight="1" x14ac:dyDescent="0.2">
      <c r="A1267" s="335"/>
      <c r="B1267" s="620" t="s">
        <v>395</v>
      </c>
      <c r="C1267" s="337">
        <v>3</v>
      </c>
      <c r="D1267" s="339"/>
      <c r="E1267" s="428">
        <v>13.99</v>
      </c>
      <c r="F1267" s="428">
        <v>2.8</v>
      </c>
      <c r="G1267" s="338">
        <f t="shared" si="70"/>
        <v>39.171999999999997</v>
      </c>
      <c r="H1267" s="340">
        <f t="shared" si="71"/>
        <v>117.51599999999999</v>
      </c>
      <c r="I1267" s="341" t="s">
        <v>2</v>
      </c>
    </row>
    <row r="1268" spans="1:9" s="41" customFormat="1" ht="14.25" customHeight="1" x14ac:dyDescent="0.2">
      <c r="A1268" s="335"/>
      <c r="B1268" s="620" t="s">
        <v>396</v>
      </c>
      <c r="C1268" s="337">
        <v>9</v>
      </c>
      <c r="D1268" s="339"/>
      <c r="E1268" s="428">
        <v>6.86</v>
      </c>
      <c r="F1268" s="428">
        <v>3.08</v>
      </c>
      <c r="G1268" s="338">
        <f t="shared" si="70"/>
        <v>21.128800000000002</v>
      </c>
      <c r="H1268" s="340">
        <f t="shared" si="71"/>
        <v>190.15920000000003</v>
      </c>
      <c r="I1268" s="341" t="s">
        <v>2</v>
      </c>
    </row>
    <row r="1269" spans="1:9" s="41" customFormat="1" ht="14.25" customHeight="1" x14ac:dyDescent="0.2">
      <c r="A1269" s="335"/>
      <c r="B1269" s="620" t="s">
        <v>444</v>
      </c>
      <c r="C1269" s="337">
        <v>-12</v>
      </c>
      <c r="D1269" s="339"/>
      <c r="E1269" s="428">
        <v>2.25</v>
      </c>
      <c r="F1269" s="428">
        <v>1.1000000000000001</v>
      </c>
      <c r="G1269" s="338">
        <f t="shared" ref="G1269:G1272" si="72">PRODUCT(D1269:F1269)</f>
        <v>2.4750000000000001</v>
      </c>
      <c r="H1269" s="340">
        <f t="shared" ref="H1269:H1272" si="73">G1269*C1269</f>
        <v>-29.700000000000003</v>
      </c>
      <c r="I1269" s="341" t="s">
        <v>2</v>
      </c>
    </row>
    <row r="1270" spans="1:9" s="41" customFormat="1" ht="14.25" customHeight="1" x14ac:dyDescent="0.2">
      <c r="A1270" s="335"/>
      <c r="B1270" s="621"/>
      <c r="C1270" s="337">
        <v>-12</v>
      </c>
      <c r="D1270" s="339"/>
      <c r="E1270" s="428">
        <v>3.35</v>
      </c>
      <c r="F1270" s="428">
        <v>0.35</v>
      </c>
      <c r="G1270" s="338">
        <f t="shared" si="72"/>
        <v>1.1724999999999999</v>
      </c>
      <c r="H1270" s="340">
        <f t="shared" si="73"/>
        <v>-14.069999999999999</v>
      </c>
      <c r="I1270" s="341" t="s">
        <v>2</v>
      </c>
    </row>
    <row r="1271" spans="1:9" s="41" customFormat="1" ht="14.25" customHeight="1" x14ac:dyDescent="0.2">
      <c r="A1271" s="335"/>
      <c r="B1271" s="621"/>
      <c r="C1271" s="337">
        <v>-12</v>
      </c>
      <c r="D1271" s="339"/>
      <c r="E1271" s="428">
        <v>3.38</v>
      </c>
      <c r="F1271" s="428">
        <v>0.35</v>
      </c>
      <c r="G1271" s="338">
        <f t="shared" si="72"/>
        <v>1.1829999999999998</v>
      </c>
      <c r="H1271" s="340">
        <f t="shared" si="73"/>
        <v>-14.195999999999998</v>
      </c>
      <c r="I1271" s="341" t="s">
        <v>2</v>
      </c>
    </row>
    <row r="1272" spans="1:9" s="41" customFormat="1" ht="14.25" customHeight="1" x14ac:dyDescent="0.2">
      <c r="A1272" s="335"/>
      <c r="B1272" s="621"/>
      <c r="C1272" s="337">
        <v>-6</v>
      </c>
      <c r="D1272" s="339"/>
      <c r="E1272" s="428">
        <v>1</v>
      </c>
      <c r="F1272" s="428">
        <v>2.1</v>
      </c>
      <c r="G1272" s="338">
        <f t="shared" si="72"/>
        <v>2.1</v>
      </c>
      <c r="H1272" s="340">
        <f t="shared" si="73"/>
        <v>-12.600000000000001</v>
      </c>
      <c r="I1272" s="341" t="s">
        <v>2</v>
      </c>
    </row>
    <row r="1273" spans="1:9" s="41" customFormat="1" ht="14.25" customHeight="1" thickBot="1" x14ac:dyDescent="0.25">
      <c r="A1273" s="335"/>
      <c r="B1273" s="621"/>
      <c r="C1273" s="337"/>
      <c r="D1273" s="339"/>
      <c r="E1273" s="428"/>
      <c r="F1273" s="428"/>
      <c r="G1273" s="338"/>
      <c r="H1273" s="340"/>
      <c r="I1273" s="341"/>
    </row>
    <row r="1274" spans="1:9" s="12" customFormat="1" ht="12.75" customHeight="1" thickBot="1" x14ac:dyDescent="0.25">
      <c r="A1274" s="408" t="s">
        <v>509</v>
      </c>
      <c r="B1274" s="520" t="s">
        <v>757</v>
      </c>
      <c r="C1274" s="521"/>
      <c r="D1274" s="521"/>
      <c r="E1274" s="521"/>
      <c r="F1274" s="521"/>
      <c r="G1274" s="522"/>
      <c r="H1274" s="410">
        <f>SUM(H1276:H1297)</f>
        <v>346.20479999999998</v>
      </c>
      <c r="I1274" s="444" t="s">
        <v>2</v>
      </c>
    </row>
    <row r="1275" spans="1:9" s="41" customFormat="1" ht="14.25" customHeight="1" x14ac:dyDescent="0.2">
      <c r="A1275" s="335"/>
      <c r="B1275" s="621"/>
      <c r="C1275" s="337"/>
      <c r="D1275" s="339"/>
      <c r="E1275" s="428"/>
      <c r="F1275" s="428"/>
      <c r="G1275" s="338"/>
      <c r="H1275" s="340"/>
      <c r="I1275" s="341"/>
    </row>
    <row r="1276" spans="1:9" s="41" customFormat="1" ht="14.25" customHeight="1" x14ac:dyDescent="0.2">
      <c r="A1276" s="335"/>
      <c r="B1276" s="536" t="s">
        <v>443</v>
      </c>
      <c r="C1276" s="337"/>
      <c r="D1276" s="338"/>
      <c r="E1276" s="338"/>
      <c r="F1276" s="339"/>
      <c r="G1276" s="338"/>
      <c r="H1276" s="340"/>
      <c r="I1276" s="341"/>
    </row>
    <row r="1277" spans="1:9" s="41" customFormat="1" ht="14.25" customHeight="1" x14ac:dyDescent="0.2">
      <c r="A1277" s="335"/>
      <c r="B1277" s="622" t="s">
        <v>394</v>
      </c>
      <c r="C1277" s="337">
        <v>4</v>
      </c>
      <c r="D1277" s="339"/>
      <c r="E1277" s="428">
        <v>1.96</v>
      </c>
      <c r="F1277" s="428">
        <v>2.8</v>
      </c>
      <c r="G1277" s="338">
        <f>PRODUCT(D1277:F1277)</f>
        <v>5.4879999999999995</v>
      </c>
      <c r="H1277" s="340">
        <f>G1277*C1277</f>
        <v>21.951999999999998</v>
      </c>
      <c r="I1277" s="341" t="s">
        <v>2</v>
      </c>
    </row>
    <row r="1278" spans="1:9" s="41" customFormat="1" ht="14.25" customHeight="1" x14ac:dyDescent="0.2">
      <c r="A1278" s="335"/>
      <c r="B1278" s="622"/>
      <c r="C1278" s="337">
        <v>2</v>
      </c>
      <c r="D1278" s="339"/>
      <c r="E1278" s="428">
        <v>4</v>
      </c>
      <c r="F1278" s="428">
        <v>2.85</v>
      </c>
      <c r="G1278" s="338">
        <f t="shared" ref="G1278:G1297" si="74">PRODUCT(D1278:F1278)</f>
        <v>11.4</v>
      </c>
      <c r="H1278" s="340">
        <f t="shared" ref="H1278:H1297" si="75">G1278*C1278</f>
        <v>22.8</v>
      </c>
      <c r="I1278" s="341" t="s">
        <v>2</v>
      </c>
    </row>
    <row r="1279" spans="1:9" s="41" customFormat="1" ht="14.25" customHeight="1" x14ac:dyDescent="0.2">
      <c r="A1279" s="335"/>
      <c r="B1279" s="622"/>
      <c r="C1279" s="337"/>
      <c r="D1279" s="339"/>
      <c r="E1279" s="428"/>
      <c r="F1279" s="428"/>
      <c r="G1279" s="338"/>
      <c r="H1279" s="340"/>
      <c r="I1279" s="341"/>
    </row>
    <row r="1280" spans="1:9" s="41" customFormat="1" ht="14.25" customHeight="1" x14ac:dyDescent="0.2">
      <c r="A1280" s="335"/>
      <c r="B1280" s="622" t="s">
        <v>395</v>
      </c>
      <c r="C1280" s="337">
        <v>2</v>
      </c>
      <c r="D1280" s="339"/>
      <c r="E1280" s="428">
        <v>7.92</v>
      </c>
      <c r="F1280" s="428">
        <v>3</v>
      </c>
      <c r="G1280" s="338">
        <f t="shared" si="74"/>
        <v>23.759999999999998</v>
      </c>
      <c r="H1280" s="340">
        <f t="shared" si="75"/>
        <v>47.519999999999996</v>
      </c>
      <c r="I1280" s="341" t="s">
        <v>2</v>
      </c>
    </row>
    <row r="1281" spans="1:9" s="41" customFormat="1" ht="14.25" customHeight="1" x14ac:dyDescent="0.2">
      <c r="A1281" s="335"/>
      <c r="B1281" s="622" t="s">
        <v>396</v>
      </c>
      <c r="C1281" s="337">
        <v>4</v>
      </c>
      <c r="D1281" s="339"/>
      <c r="E1281" s="428">
        <v>4</v>
      </c>
      <c r="F1281" s="428">
        <v>2.9</v>
      </c>
      <c r="G1281" s="338">
        <f t="shared" si="74"/>
        <v>11.6</v>
      </c>
      <c r="H1281" s="340">
        <f t="shared" si="75"/>
        <v>46.4</v>
      </c>
      <c r="I1281" s="341" t="s">
        <v>2</v>
      </c>
    </row>
    <row r="1282" spans="1:9" s="41" customFormat="1" ht="14.25" customHeight="1" x14ac:dyDescent="0.2">
      <c r="A1282" s="335"/>
      <c r="B1282" s="622" t="s">
        <v>445</v>
      </c>
      <c r="C1282" s="337">
        <v>2</v>
      </c>
      <c r="D1282" s="339"/>
      <c r="E1282" s="428">
        <v>3.84</v>
      </c>
      <c r="F1282" s="428">
        <v>2.4</v>
      </c>
      <c r="G1282" s="338">
        <f t="shared" si="74"/>
        <v>9.2159999999999993</v>
      </c>
      <c r="H1282" s="340">
        <f t="shared" si="75"/>
        <v>18.431999999999999</v>
      </c>
      <c r="I1282" s="341" t="s">
        <v>2</v>
      </c>
    </row>
    <row r="1283" spans="1:9" s="41" customFormat="1" ht="14.25" customHeight="1" x14ac:dyDescent="0.2">
      <c r="A1283" s="335"/>
      <c r="B1283" s="622"/>
      <c r="C1283" s="337">
        <v>6</v>
      </c>
      <c r="D1283" s="339"/>
      <c r="E1283" s="428">
        <v>1.3</v>
      </c>
      <c r="F1283" s="428">
        <v>2.4</v>
      </c>
      <c r="G1283" s="338">
        <f t="shared" si="74"/>
        <v>3.12</v>
      </c>
      <c r="H1283" s="340">
        <f t="shared" si="75"/>
        <v>18.72</v>
      </c>
      <c r="I1283" s="341" t="s">
        <v>2</v>
      </c>
    </row>
    <row r="1284" spans="1:9" s="41" customFormat="1" ht="14.25" customHeight="1" x14ac:dyDescent="0.2">
      <c r="A1284" s="335"/>
      <c r="B1284" s="622"/>
      <c r="C1284" s="337">
        <v>1</v>
      </c>
      <c r="D1284" s="339"/>
      <c r="E1284" s="428">
        <v>2.82</v>
      </c>
      <c r="F1284" s="428">
        <v>2.92</v>
      </c>
      <c r="G1284" s="338">
        <f t="shared" si="74"/>
        <v>8.2343999999999991</v>
      </c>
      <c r="H1284" s="340">
        <f t="shared" si="75"/>
        <v>8.2343999999999991</v>
      </c>
      <c r="I1284" s="341" t="s">
        <v>2</v>
      </c>
    </row>
    <row r="1285" spans="1:9" s="41" customFormat="1" ht="14.25" customHeight="1" x14ac:dyDescent="0.2">
      <c r="A1285" s="335"/>
      <c r="B1285" s="622" t="s">
        <v>444</v>
      </c>
      <c r="C1285" s="337">
        <v>-2</v>
      </c>
      <c r="D1285" s="339"/>
      <c r="E1285" s="428">
        <v>3.13</v>
      </c>
      <c r="F1285" s="428">
        <v>0.6</v>
      </c>
      <c r="G1285" s="338">
        <f t="shared" si="74"/>
        <v>1.8779999999999999</v>
      </c>
      <c r="H1285" s="340">
        <f t="shared" si="75"/>
        <v>-3.7559999999999998</v>
      </c>
      <c r="I1285" s="341" t="s">
        <v>2</v>
      </c>
    </row>
    <row r="1286" spans="1:9" s="41" customFormat="1" ht="14.25" customHeight="1" x14ac:dyDescent="0.2">
      <c r="A1286" s="335"/>
      <c r="B1286" s="622"/>
      <c r="C1286" s="337">
        <v>-8</v>
      </c>
      <c r="D1286" s="339"/>
      <c r="E1286" s="428">
        <v>0.6</v>
      </c>
      <c r="F1286" s="428">
        <v>1.5</v>
      </c>
      <c r="G1286" s="338">
        <f t="shared" si="74"/>
        <v>0.89999999999999991</v>
      </c>
      <c r="H1286" s="340">
        <f t="shared" si="75"/>
        <v>-7.1999999999999993</v>
      </c>
      <c r="I1286" s="341" t="s">
        <v>2</v>
      </c>
    </row>
    <row r="1287" spans="1:9" s="41" customFormat="1" ht="14.25" customHeight="1" x14ac:dyDescent="0.2">
      <c r="A1287" s="335"/>
      <c r="B1287" s="536" t="s">
        <v>469</v>
      </c>
      <c r="C1287" s="337"/>
      <c r="D1287" s="338"/>
      <c r="E1287" s="338"/>
      <c r="F1287" s="339"/>
      <c r="G1287" s="338"/>
      <c r="H1287" s="340"/>
      <c r="I1287" s="341"/>
    </row>
    <row r="1288" spans="1:9" s="41" customFormat="1" ht="14.25" customHeight="1" x14ac:dyDescent="0.2">
      <c r="A1288" s="335"/>
      <c r="B1288" s="622" t="s">
        <v>394</v>
      </c>
      <c r="C1288" s="337">
        <v>4</v>
      </c>
      <c r="D1288" s="339"/>
      <c r="E1288" s="428">
        <v>1.96</v>
      </c>
      <c r="F1288" s="428">
        <v>2.8</v>
      </c>
      <c r="G1288" s="338">
        <f t="shared" si="74"/>
        <v>5.4879999999999995</v>
      </c>
      <c r="H1288" s="340">
        <f t="shared" si="75"/>
        <v>21.951999999999998</v>
      </c>
      <c r="I1288" s="341" t="s">
        <v>2</v>
      </c>
    </row>
    <row r="1289" spans="1:9" s="41" customFormat="1" ht="14.25" customHeight="1" x14ac:dyDescent="0.2">
      <c r="A1289" s="335"/>
      <c r="B1289" s="622"/>
      <c r="C1289" s="337">
        <v>2</v>
      </c>
      <c r="D1289" s="339"/>
      <c r="E1289" s="428">
        <v>4</v>
      </c>
      <c r="F1289" s="428">
        <v>2.85</v>
      </c>
      <c r="G1289" s="338">
        <f t="shared" si="74"/>
        <v>11.4</v>
      </c>
      <c r="H1289" s="340">
        <f t="shared" si="75"/>
        <v>22.8</v>
      </c>
      <c r="I1289" s="341" t="s">
        <v>2</v>
      </c>
    </row>
    <row r="1290" spans="1:9" s="41" customFormat="1" ht="14.25" customHeight="1" x14ac:dyDescent="0.2">
      <c r="A1290" s="335"/>
      <c r="B1290" s="622"/>
      <c r="C1290" s="337"/>
      <c r="D1290" s="339"/>
      <c r="E1290" s="428"/>
      <c r="F1290" s="428"/>
      <c r="G1290" s="338"/>
      <c r="H1290" s="340"/>
      <c r="I1290" s="341"/>
    </row>
    <row r="1291" spans="1:9" s="41" customFormat="1" ht="14.25" customHeight="1" x14ac:dyDescent="0.2">
      <c r="A1291" s="335"/>
      <c r="B1291" s="622" t="s">
        <v>395</v>
      </c>
      <c r="C1291" s="337">
        <v>2</v>
      </c>
      <c r="D1291" s="339"/>
      <c r="E1291" s="428">
        <v>7.92</v>
      </c>
      <c r="F1291" s="428">
        <v>3</v>
      </c>
      <c r="G1291" s="338">
        <f t="shared" si="74"/>
        <v>23.759999999999998</v>
      </c>
      <c r="H1291" s="340">
        <f t="shared" si="75"/>
        <v>47.519999999999996</v>
      </c>
      <c r="I1291" s="341" t="s">
        <v>2</v>
      </c>
    </row>
    <row r="1292" spans="1:9" s="41" customFormat="1" ht="14.25" customHeight="1" x14ac:dyDescent="0.2">
      <c r="A1292" s="335"/>
      <c r="B1292" s="622" t="s">
        <v>396</v>
      </c>
      <c r="C1292" s="337">
        <v>4</v>
      </c>
      <c r="D1292" s="339"/>
      <c r="E1292" s="428">
        <v>4</v>
      </c>
      <c r="F1292" s="428">
        <v>2.9</v>
      </c>
      <c r="G1292" s="338">
        <f t="shared" si="74"/>
        <v>11.6</v>
      </c>
      <c r="H1292" s="340">
        <f t="shared" si="75"/>
        <v>46.4</v>
      </c>
      <c r="I1292" s="341" t="s">
        <v>2</v>
      </c>
    </row>
    <row r="1293" spans="1:9" s="41" customFormat="1" ht="14.25" customHeight="1" x14ac:dyDescent="0.2">
      <c r="A1293" s="335"/>
      <c r="B1293" s="622" t="s">
        <v>445</v>
      </c>
      <c r="C1293" s="337">
        <v>2</v>
      </c>
      <c r="D1293" s="339"/>
      <c r="E1293" s="428">
        <v>3.84</v>
      </c>
      <c r="F1293" s="428">
        <v>2.4</v>
      </c>
      <c r="G1293" s="338">
        <f t="shared" si="74"/>
        <v>9.2159999999999993</v>
      </c>
      <c r="H1293" s="340">
        <f t="shared" si="75"/>
        <v>18.431999999999999</v>
      </c>
      <c r="I1293" s="341" t="s">
        <v>2</v>
      </c>
    </row>
    <row r="1294" spans="1:9" s="41" customFormat="1" ht="14.25" customHeight="1" x14ac:dyDescent="0.2">
      <c r="A1294" s="335"/>
      <c r="B1294" s="622"/>
      <c r="C1294" s="337">
        <v>6</v>
      </c>
      <c r="D1294" s="339"/>
      <c r="E1294" s="428">
        <v>1.3</v>
      </c>
      <c r="F1294" s="428">
        <v>2.4</v>
      </c>
      <c r="G1294" s="338">
        <f t="shared" si="74"/>
        <v>3.12</v>
      </c>
      <c r="H1294" s="340">
        <f t="shared" si="75"/>
        <v>18.72</v>
      </c>
      <c r="I1294" s="341" t="s">
        <v>2</v>
      </c>
    </row>
    <row r="1295" spans="1:9" s="41" customFormat="1" ht="14.25" customHeight="1" x14ac:dyDescent="0.2">
      <c r="A1295" s="335"/>
      <c r="B1295" s="622"/>
      <c r="C1295" s="337">
        <v>1</v>
      </c>
      <c r="D1295" s="339"/>
      <c r="E1295" s="428">
        <v>2.82</v>
      </c>
      <c r="F1295" s="428">
        <v>2.92</v>
      </c>
      <c r="G1295" s="338">
        <f t="shared" si="74"/>
        <v>8.2343999999999991</v>
      </c>
      <c r="H1295" s="340">
        <f t="shared" si="75"/>
        <v>8.2343999999999991</v>
      </c>
      <c r="I1295" s="341" t="s">
        <v>2</v>
      </c>
    </row>
    <row r="1296" spans="1:9" s="41" customFormat="1" ht="14.25" customHeight="1" x14ac:dyDescent="0.2">
      <c r="A1296" s="335"/>
      <c r="B1296" s="622" t="s">
        <v>444</v>
      </c>
      <c r="C1296" s="337">
        <v>-2</v>
      </c>
      <c r="D1296" s="339"/>
      <c r="E1296" s="428">
        <v>3.13</v>
      </c>
      <c r="F1296" s="428">
        <v>0.6</v>
      </c>
      <c r="G1296" s="338">
        <f t="shared" si="74"/>
        <v>1.8779999999999999</v>
      </c>
      <c r="H1296" s="340">
        <f t="shared" si="75"/>
        <v>-3.7559999999999998</v>
      </c>
      <c r="I1296" s="341" t="s">
        <v>2</v>
      </c>
    </row>
    <row r="1297" spans="1:9" s="41" customFormat="1" ht="14.25" customHeight="1" x14ac:dyDescent="0.2">
      <c r="A1297" s="335"/>
      <c r="B1297" s="621"/>
      <c r="C1297" s="337">
        <v>-8</v>
      </c>
      <c r="D1297" s="339"/>
      <c r="E1297" s="428">
        <v>0.6</v>
      </c>
      <c r="F1297" s="428">
        <v>1.5</v>
      </c>
      <c r="G1297" s="338">
        <f t="shared" si="74"/>
        <v>0.89999999999999991</v>
      </c>
      <c r="H1297" s="340">
        <f t="shared" si="75"/>
        <v>-7.1999999999999993</v>
      </c>
      <c r="I1297" s="341" t="s">
        <v>2</v>
      </c>
    </row>
    <row r="1298" spans="1:9" s="41" customFormat="1" ht="14.25" customHeight="1" thickBot="1" x14ac:dyDescent="0.25">
      <c r="A1298" s="335"/>
      <c r="B1298" s="621"/>
      <c r="C1298" s="337"/>
      <c r="D1298" s="339"/>
      <c r="E1298" s="428"/>
      <c r="F1298" s="428"/>
      <c r="G1298" s="338"/>
      <c r="H1298" s="340"/>
      <c r="I1298" s="341"/>
    </row>
    <row r="1299" spans="1:9" s="12" customFormat="1" ht="12.75" customHeight="1" thickBot="1" x14ac:dyDescent="0.25">
      <c r="A1299" s="408" t="s">
        <v>510</v>
      </c>
      <c r="B1299" s="520" t="s">
        <v>753</v>
      </c>
      <c r="C1299" s="521"/>
      <c r="D1299" s="521"/>
      <c r="E1299" s="521"/>
      <c r="F1299" s="521"/>
      <c r="G1299" s="522"/>
      <c r="H1299" s="410">
        <f>SUM(H1301:H1311)</f>
        <v>855.09000000000015</v>
      </c>
      <c r="I1299" s="444" t="s">
        <v>9</v>
      </c>
    </row>
    <row r="1300" spans="1:9" s="41" customFormat="1" ht="14.25" customHeight="1" x14ac:dyDescent="0.2">
      <c r="A1300" s="335"/>
      <c r="B1300" s="535" t="s">
        <v>450</v>
      </c>
      <c r="C1300" s="337"/>
      <c r="D1300" s="338"/>
      <c r="E1300" s="338"/>
      <c r="F1300" s="339"/>
      <c r="G1300" s="338"/>
      <c r="H1300" s="340"/>
      <c r="I1300" s="341"/>
    </row>
    <row r="1301" spans="1:9" s="41" customFormat="1" ht="14.25" customHeight="1" x14ac:dyDescent="0.2">
      <c r="A1301" s="335"/>
      <c r="B1301" s="620" t="s">
        <v>451</v>
      </c>
      <c r="C1301" s="337">
        <f>13+33</f>
        <v>46</v>
      </c>
      <c r="D1301" s="339"/>
      <c r="E1301" s="428"/>
      <c r="F1301" s="428">
        <v>2.9</v>
      </c>
      <c r="G1301" s="338">
        <f>PRODUCT(D1301:F1301)</f>
        <v>2.9</v>
      </c>
      <c r="H1301" s="340">
        <f>G1301*C1301</f>
        <v>133.4</v>
      </c>
      <c r="I1301" s="341" t="s">
        <v>9</v>
      </c>
    </row>
    <row r="1302" spans="1:9" s="41" customFormat="1" ht="14.25" customHeight="1" x14ac:dyDescent="0.2">
      <c r="A1302" s="335"/>
      <c r="B1302" s="620"/>
      <c r="C1302" s="337">
        <f>7+18</f>
        <v>25</v>
      </c>
      <c r="D1302" s="339"/>
      <c r="E1302" s="428"/>
      <c r="F1302" s="428">
        <v>3.02</v>
      </c>
      <c r="G1302" s="338">
        <f t="shared" ref="G1302:G1311" si="76">PRODUCT(D1302:F1302)</f>
        <v>3.02</v>
      </c>
      <c r="H1302" s="340">
        <f t="shared" ref="H1302:H1311" si="77">G1302*C1302</f>
        <v>75.5</v>
      </c>
      <c r="I1302" s="341" t="s">
        <v>9</v>
      </c>
    </row>
    <row r="1303" spans="1:9" s="41" customFormat="1" ht="14.25" customHeight="1" x14ac:dyDescent="0.2">
      <c r="A1303" s="335"/>
      <c r="B1303" s="620"/>
      <c r="C1303" s="337">
        <f>13+33</f>
        <v>46</v>
      </c>
      <c r="D1303" s="339"/>
      <c r="E1303" s="428"/>
      <c r="F1303" s="428">
        <v>3.12</v>
      </c>
      <c r="G1303" s="338">
        <f t="shared" si="76"/>
        <v>3.12</v>
      </c>
      <c r="H1303" s="340">
        <f t="shared" si="77"/>
        <v>143.52000000000001</v>
      </c>
      <c r="I1303" s="341" t="s">
        <v>9</v>
      </c>
    </row>
    <row r="1304" spans="1:9" s="41" customFormat="1" ht="14.25" customHeight="1" x14ac:dyDescent="0.2">
      <c r="A1304" s="335"/>
      <c r="B1304" s="536" t="s">
        <v>460</v>
      </c>
      <c r="C1304" s="339"/>
      <c r="D1304" s="339"/>
      <c r="E1304" s="428"/>
      <c r="F1304" s="428"/>
      <c r="G1304" s="338">
        <f t="shared" si="76"/>
        <v>0</v>
      </c>
      <c r="H1304" s="340">
        <f t="shared" si="77"/>
        <v>0</v>
      </c>
      <c r="I1304" s="341"/>
    </row>
    <row r="1305" spans="1:9" s="41" customFormat="1" ht="14.25" customHeight="1" x14ac:dyDescent="0.2">
      <c r="A1305" s="335"/>
      <c r="B1305" s="620" t="s">
        <v>451</v>
      </c>
      <c r="C1305" s="337">
        <v>60</v>
      </c>
      <c r="D1305" s="339"/>
      <c r="E1305" s="428"/>
      <c r="F1305" s="428">
        <v>2.9</v>
      </c>
      <c r="G1305" s="338">
        <f t="shared" si="76"/>
        <v>2.9</v>
      </c>
      <c r="H1305" s="340">
        <f t="shared" si="77"/>
        <v>174</v>
      </c>
      <c r="I1305" s="341" t="s">
        <v>9</v>
      </c>
    </row>
    <row r="1306" spans="1:9" s="41" customFormat="1" ht="14.25" customHeight="1" x14ac:dyDescent="0.2">
      <c r="A1306" s="335"/>
      <c r="B1306" s="620"/>
      <c r="C1306" s="337">
        <v>36</v>
      </c>
      <c r="D1306" s="339"/>
      <c r="E1306" s="428"/>
      <c r="F1306" s="428">
        <v>3.02</v>
      </c>
      <c r="G1306" s="338">
        <f t="shared" si="76"/>
        <v>3.02</v>
      </c>
      <c r="H1306" s="340">
        <f t="shared" si="77"/>
        <v>108.72</v>
      </c>
      <c r="I1306" s="341" t="s">
        <v>9</v>
      </c>
    </row>
    <row r="1307" spans="1:9" s="41" customFormat="1" ht="14.25" customHeight="1" x14ac:dyDescent="0.2">
      <c r="A1307" s="335"/>
      <c r="B1307" s="620"/>
      <c r="C1307" s="337">
        <v>60</v>
      </c>
      <c r="D1307" s="339"/>
      <c r="E1307" s="428"/>
      <c r="F1307" s="428">
        <v>3.12</v>
      </c>
      <c r="G1307" s="338">
        <f t="shared" si="76"/>
        <v>3.12</v>
      </c>
      <c r="H1307" s="340">
        <f t="shared" si="77"/>
        <v>187.20000000000002</v>
      </c>
      <c r="I1307" s="341" t="s">
        <v>9</v>
      </c>
    </row>
    <row r="1308" spans="1:9" s="41" customFormat="1" ht="14.25" customHeight="1" x14ac:dyDescent="0.2">
      <c r="A1308" s="335"/>
      <c r="B1308" s="620"/>
      <c r="C1308" s="339"/>
      <c r="D1308" s="339"/>
      <c r="E1308" s="428"/>
      <c r="F1308" s="428"/>
      <c r="G1308" s="338">
        <f t="shared" si="76"/>
        <v>0</v>
      </c>
      <c r="H1308" s="340">
        <f t="shared" si="77"/>
        <v>0</v>
      </c>
      <c r="I1308" s="341"/>
    </row>
    <row r="1309" spans="1:9" s="41" customFormat="1" ht="14.25" customHeight="1" x14ac:dyDescent="0.2">
      <c r="A1309" s="335"/>
      <c r="B1309" s="620" t="s">
        <v>461</v>
      </c>
      <c r="C1309" s="337">
        <v>4</v>
      </c>
      <c r="D1309" s="339"/>
      <c r="E1309" s="428"/>
      <c r="F1309" s="428">
        <v>3.2</v>
      </c>
      <c r="G1309" s="338">
        <f t="shared" si="76"/>
        <v>3.2</v>
      </c>
      <c r="H1309" s="340">
        <f t="shared" si="77"/>
        <v>12.8</v>
      </c>
      <c r="I1309" s="341" t="s">
        <v>9</v>
      </c>
    </row>
    <row r="1310" spans="1:9" s="41" customFormat="1" ht="14.25" customHeight="1" x14ac:dyDescent="0.2">
      <c r="A1310" s="335"/>
      <c r="B1310" s="621"/>
      <c r="C1310" s="337">
        <v>3</v>
      </c>
      <c r="D1310" s="339"/>
      <c r="E1310" s="428"/>
      <c r="F1310" s="428">
        <v>3.25</v>
      </c>
      <c r="G1310" s="338">
        <f t="shared" si="76"/>
        <v>3.25</v>
      </c>
      <c r="H1310" s="340">
        <f t="shared" si="77"/>
        <v>9.75</v>
      </c>
      <c r="I1310" s="341" t="s">
        <v>9</v>
      </c>
    </row>
    <row r="1311" spans="1:9" s="41" customFormat="1" ht="14.25" customHeight="1" x14ac:dyDescent="0.2">
      <c r="A1311" s="335"/>
      <c r="B1311" s="621"/>
      <c r="C1311" s="337">
        <v>3</v>
      </c>
      <c r="D1311" s="339"/>
      <c r="E1311" s="428"/>
      <c r="F1311" s="428">
        <v>3.4</v>
      </c>
      <c r="G1311" s="338">
        <f t="shared" si="76"/>
        <v>3.4</v>
      </c>
      <c r="H1311" s="340">
        <f t="shared" si="77"/>
        <v>10.199999999999999</v>
      </c>
      <c r="I1311" s="341" t="s">
        <v>9</v>
      </c>
    </row>
    <row r="1312" spans="1:9" s="41" customFormat="1" ht="14.25" customHeight="1" thickBot="1" x14ac:dyDescent="0.25">
      <c r="A1312" s="335"/>
      <c r="B1312" s="621"/>
      <c r="C1312" s="339"/>
      <c r="D1312" s="436"/>
      <c r="E1312" s="439"/>
      <c r="F1312" s="439"/>
      <c r="G1312" s="344"/>
      <c r="H1312" s="440"/>
      <c r="I1312" s="346"/>
    </row>
    <row r="1313" spans="1:9" s="12" customFormat="1" ht="12.75" customHeight="1" thickBot="1" x14ac:dyDescent="0.25">
      <c r="A1313" s="408" t="s">
        <v>511</v>
      </c>
      <c r="B1313" s="520" t="s">
        <v>755</v>
      </c>
      <c r="C1313" s="521"/>
      <c r="D1313" s="521"/>
      <c r="E1313" s="521"/>
      <c r="F1313" s="521"/>
      <c r="G1313" s="522"/>
      <c r="H1313" s="410">
        <f>SUM(H1315:H1325)</f>
        <v>1101.8999999999999</v>
      </c>
      <c r="I1313" s="444" t="s">
        <v>9</v>
      </c>
    </row>
    <row r="1314" spans="1:9" s="41" customFormat="1" x14ac:dyDescent="0.2">
      <c r="A1314" s="441"/>
      <c r="B1314" s="541" t="s">
        <v>450</v>
      </c>
      <c r="C1314" s="337"/>
      <c r="D1314" s="338"/>
      <c r="E1314" s="338"/>
      <c r="F1314" s="339"/>
      <c r="G1314" s="338"/>
      <c r="H1314" s="340"/>
      <c r="I1314" s="341"/>
    </row>
    <row r="1315" spans="1:9" s="42" customFormat="1" ht="13.5" customHeight="1" x14ac:dyDescent="0.2">
      <c r="A1315" s="335"/>
      <c r="B1315" s="620" t="s">
        <v>451</v>
      </c>
      <c r="C1315" s="337">
        <v>1</v>
      </c>
      <c r="D1315" s="339">
        <f>41.65+41.65</f>
        <v>83.3</v>
      </c>
      <c r="E1315" s="428"/>
      <c r="F1315" s="428"/>
      <c r="G1315" s="338">
        <f>PRODUCT(D1315:F1315)</f>
        <v>83.3</v>
      </c>
      <c r="H1315" s="340">
        <f>G1315*C1315</f>
        <v>83.3</v>
      </c>
      <c r="I1315" s="341" t="s">
        <v>9</v>
      </c>
    </row>
    <row r="1316" spans="1:9" s="42" customFormat="1" ht="13.5" customHeight="1" x14ac:dyDescent="0.2">
      <c r="A1316" s="335"/>
      <c r="B1316" s="620"/>
      <c r="C1316" s="337">
        <v>7</v>
      </c>
      <c r="D1316" s="339">
        <v>7</v>
      </c>
      <c r="E1316" s="428"/>
      <c r="F1316" s="428"/>
      <c r="G1316" s="338">
        <f t="shared" ref="G1316:G1325" si="78">PRODUCT(D1316:F1316)</f>
        <v>7</v>
      </c>
      <c r="H1316" s="340">
        <f t="shared" ref="H1316:H1325" si="79">G1316*C1316</f>
        <v>49</v>
      </c>
      <c r="I1316" s="341" t="s">
        <v>9</v>
      </c>
    </row>
    <row r="1317" spans="1:9" s="42" customFormat="1" ht="13.5" customHeight="1" x14ac:dyDescent="0.2">
      <c r="A1317" s="335"/>
      <c r="B1317" s="620"/>
      <c r="C1317" s="337">
        <v>3</v>
      </c>
      <c r="D1317" s="339">
        <f>34.72+34.72</f>
        <v>69.44</v>
      </c>
      <c r="E1317" s="428"/>
      <c r="F1317" s="428"/>
      <c r="G1317" s="338">
        <f t="shared" si="78"/>
        <v>69.44</v>
      </c>
      <c r="H1317" s="340">
        <f t="shared" si="79"/>
        <v>208.32</v>
      </c>
      <c r="I1317" s="341" t="s">
        <v>9</v>
      </c>
    </row>
    <row r="1318" spans="1:9" s="42" customFormat="1" ht="13.5" customHeight="1" x14ac:dyDescent="0.2">
      <c r="A1318" s="335"/>
      <c r="B1318" s="620"/>
      <c r="C1318" s="337">
        <v>18</v>
      </c>
      <c r="D1318" s="339">
        <v>7</v>
      </c>
      <c r="E1318" s="428"/>
      <c r="F1318" s="428"/>
      <c r="G1318" s="338">
        <f t="shared" si="78"/>
        <v>7</v>
      </c>
      <c r="H1318" s="340">
        <f t="shared" si="79"/>
        <v>126</v>
      </c>
      <c r="I1318" s="341" t="s">
        <v>9</v>
      </c>
    </row>
    <row r="1319" spans="1:9" s="42" customFormat="1" ht="13.5" customHeight="1" x14ac:dyDescent="0.2">
      <c r="A1319" s="335"/>
      <c r="B1319" s="620"/>
      <c r="C1319" s="337"/>
      <c r="D1319" s="339"/>
      <c r="E1319" s="428"/>
      <c r="F1319" s="428"/>
      <c r="G1319" s="338"/>
      <c r="H1319" s="340"/>
      <c r="I1319" s="341"/>
    </row>
    <row r="1320" spans="1:9" s="42" customFormat="1" ht="13.5" customHeight="1" x14ac:dyDescent="0.2">
      <c r="A1320" s="335"/>
      <c r="B1320" s="540" t="s">
        <v>452</v>
      </c>
      <c r="C1320" s="337">
        <v>1</v>
      </c>
      <c r="D1320" s="339">
        <f>7.92*3</f>
        <v>23.759999999999998</v>
      </c>
      <c r="E1320" s="428"/>
      <c r="F1320" s="428"/>
      <c r="G1320" s="338">
        <f t="shared" si="78"/>
        <v>23.759999999999998</v>
      </c>
      <c r="H1320" s="340">
        <f t="shared" si="79"/>
        <v>23.759999999999998</v>
      </c>
      <c r="I1320" s="341" t="s">
        <v>9</v>
      </c>
    </row>
    <row r="1321" spans="1:9" s="42" customFormat="1" ht="13.5" customHeight="1" x14ac:dyDescent="0.2">
      <c r="A1321" s="335"/>
      <c r="B1321" s="611"/>
      <c r="C1321" s="337"/>
      <c r="D1321" s="339"/>
      <c r="E1321" s="428"/>
      <c r="F1321" s="428"/>
      <c r="G1321" s="338"/>
      <c r="H1321" s="340"/>
      <c r="I1321" s="341"/>
    </row>
    <row r="1322" spans="1:9" s="42" customFormat="1" ht="13.5" customHeight="1" x14ac:dyDescent="0.2">
      <c r="A1322" s="335"/>
      <c r="B1322" s="543" t="s">
        <v>453</v>
      </c>
      <c r="C1322" s="337"/>
      <c r="D1322" s="338"/>
      <c r="E1322" s="338"/>
      <c r="F1322" s="339"/>
      <c r="G1322" s="338"/>
      <c r="H1322" s="340"/>
      <c r="I1322" s="341"/>
    </row>
    <row r="1323" spans="1:9" s="42" customFormat="1" ht="13.5" customHeight="1" x14ac:dyDescent="0.2">
      <c r="A1323" s="335"/>
      <c r="B1323" s="620" t="s">
        <v>451</v>
      </c>
      <c r="C1323" s="337">
        <v>4</v>
      </c>
      <c r="D1323" s="339">
        <v>83.94</v>
      </c>
      <c r="E1323" s="428"/>
      <c r="F1323" s="428"/>
      <c r="G1323" s="338">
        <f t="shared" si="78"/>
        <v>83.94</v>
      </c>
      <c r="H1323" s="340">
        <f t="shared" si="79"/>
        <v>335.76</v>
      </c>
      <c r="I1323" s="341" t="s">
        <v>9</v>
      </c>
    </row>
    <row r="1324" spans="1:9" s="42" customFormat="1" ht="13.5" customHeight="1" x14ac:dyDescent="0.2">
      <c r="A1324" s="335"/>
      <c r="B1324" s="620"/>
      <c r="C1324" s="337">
        <v>36</v>
      </c>
      <c r="D1324" s="339">
        <v>7</v>
      </c>
      <c r="E1324" s="428"/>
      <c r="F1324" s="428"/>
      <c r="G1324" s="338">
        <f t="shared" si="78"/>
        <v>7</v>
      </c>
      <c r="H1324" s="340">
        <f t="shared" si="79"/>
        <v>252</v>
      </c>
      <c r="I1324" s="341" t="s">
        <v>9</v>
      </c>
    </row>
    <row r="1325" spans="1:9" s="42" customFormat="1" ht="13.5" customHeight="1" x14ac:dyDescent="0.2">
      <c r="A1325" s="335"/>
      <c r="B1325" s="620" t="s">
        <v>452</v>
      </c>
      <c r="C1325" s="337">
        <v>1</v>
      </c>
      <c r="D1325" s="339">
        <f>7.92*3</f>
        <v>23.759999999999998</v>
      </c>
      <c r="E1325" s="428"/>
      <c r="F1325" s="428"/>
      <c r="G1325" s="338">
        <f t="shared" si="78"/>
        <v>23.759999999999998</v>
      </c>
      <c r="H1325" s="340">
        <f t="shared" si="79"/>
        <v>23.759999999999998</v>
      </c>
      <c r="I1325" s="341" t="s">
        <v>9</v>
      </c>
    </row>
    <row r="1326" spans="1:9" s="41" customFormat="1" ht="14.25" customHeight="1" thickBot="1" x14ac:dyDescent="0.25">
      <c r="A1326" s="442"/>
      <c r="B1326" s="443"/>
      <c r="C1326" s="337"/>
      <c r="D1326" s="338"/>
      <c r="E1326" s="338"/>
      <c r="F1326" s="338"/>
      <c r="G1326" s="338"/>
      <c r="H1326" s="433"/>
      <c r="I1326" s="341"/>
    </row>
    <row r="1327" spans="1:9" s="12" customFormat="1" ht="12.75" customHeight="1" thickBot="1" x14ac:dyDescent="0.25">
      <c r="A1327" s="408" t="s">
        <v>512</v>
      </c>
      <c r="B1327" s="520" t="s">
        <v>462</v>
      </c>
      <c r="C1327" s="521"/>
      <c r="D1327" s="521"/>
      <c r="E1327" s="521"/>
      <c r="F1327" s="521"/>
      <c r="G1327" s="522"/>
      <c r="H1327" s="410">
        <f>SUM(H1329:H1329)</f>
        <v>45</v>
      </c>
      <c r="I1327" s="444" t="s">
        <v>8</v>
      </c>
    </row>
    <row r="1328" spans="1:9" s="41" customFormat="1" x14ac:dyDescent="0.2">
      <c r="A1328" s="441"/>
      <c r="B1328" s="438"/>
      <c r="C1328" s="337"/>
      <c r="D1328" s="338"/>
      <c r="E1328" s="338"/>
      <c r="F1328" s="339"/>
      <c r="G1328" s="338"/>
      <c r="H1328" s="340"/>
      <c r="I1328" s="341"/>
    </row>
    <row r="1329" spans="1:9" s="42" customFormat="1" ht="13.5" customHeight="1" x14ac:dyDescent="0.2">
      <c r="A1329" s="335"/>
      <c r="B1329" s="622" t="s">
        <v>397</v>
      </c>
      <c r="C1329" s="337">
        <v>45</v>
      </c>
      <c r="D1329" s="339">
        <v>1</v>
      </c>
      <c r="E1329" s="428"/>
      <c r="F1329" s="428"/>
      <c r="G1329" s="338">
        <f>PRODUCT(D1329:F1329)</f>
        <v>1</v>
      </c>
      <c r="H1329" s="340">
        <f>G1329*C1329</f>
        <v>45</v>
      </c>
      <c r="I1329" s="341" t="s">
        <v>8</v>
      </c>
    </row>
    <row r="1330" spans="1:9" s="41" customFormat="1" ht="14.25" customHeight="1" thickBot="1" x14ac:dyDescent="0.25">
      <c r="A1330" s="445"/>
      <c r="B1330" s="443"/>
      <c r="C1330" s="337"/>
      <c r="D1330" s="338"/>
      <c r="E1330" s="338"/>
      <c r="F1330" s="338"/>
      <c r="G1330" s="338"/>
      <c r="H1330" s="433"/>
      <c r="I1330" s="341"/>
    </row>
    <row r="1331" spans="1:9" s="12" customFormat="1" ht="12.75" customHeight="1" thickBot="1" x14ac:dyDescent="0.25">
      <c r="A1331" s="408" t="s">
        <v>513</v>
      </c>
      <c r="B1331" s="520" t="s">
        <v>463</v>
      </c>
      <c r="C1331" s="521"/>
      <c r="D1331" s="521"/>
      <c r="E1331" s="521"/>
      <c r="F1331" s="521"/>
      <c r="G1331" s="522"/>
      <c r="H1331" s="410">
        <f>SUM(H1333:H1333)</f>
        <v>8</v>
      </c>
      <c r="I1331" s="444" t="s">
        <v>8</v>
      </c>
    </row>
    <row r="1332" spans="1:9" s="41" customFormat="1" ht="14.25" customHeight="1" x14ac:dyDescent="0.2">
      <c r="A1332" s="441"/>
      <c r="B1332" s="438"/>
      <c r="C1332" s="337"/>
      <c r="D1332" s="338"/>
      <c r="E1332" s="338"/>
      <c r="F1332" s="339"/>
      <c r="G1332" s="338"/>
      <c r="H1332" s="340"/>
      <c r="I1332" s="341"/>
    </row>
    <row r="1333" spans="1:9" s="41" customFormat="1" ht="14.25" customHeight="1" x14ac:dyDescent="0.2">
      <c r="A1333" s="335"/>
      <c r="B1333" s="622" t="s">
        <v>455</v>
      </c>
      <c r="C1333" s="337">
        <v>4</v>
      </c>
      <c r="D1333" s="339">
        <v>2</v>
      </c>
      <c r="E1333" s="428"/>
      <c r="F1333" s="428"/>
      <c r="G1333" s="338">
        <f>PRODUCT(D1333:F1333)</f>
        <v>2</v>
      </c>
      <c r="H1333" s="340">
        <f>G1333*C1333</f>
        <v>8</v>
      </c>
      <c r="I1333" s="341" t="s">
        <v>8</v>
      </c>
    </row>
    <row r="1334" spans="1:9" s="41" customFormat="1" ht="14.25" customHeight="1" thickBot="1" x14ac:dyDescent="0.25">
      <c r="A1334" s="445"/>
      <c r="B1334" s="443"/>
      <c r="C1334" s="343"/>
      <c r="D1334" s="344"/>
      <c r="E1334" s="344"/>
      <c r="F1334" s="446"/>
      <c r="G1334" s="338"/>
      <c r="H1334" s="433"/>
      <c r="I1334" s="346"/>
    </row>
    <row r="1335" spans="1:9" s="12" customFormat="1" ht="12.75" customHeight="1" thickBot="1" x14ac:dyDescent="0.25">
      <c r="A1335" s="408" t="s">
        <v>514</v>
      </c>
      <c r="B1335" s="520" t="s">
        <v>464</v>
      </c>
      <c r="C1335" s="521"/>
      <c r="D1335" s="521"/>
      <c r="E1335" s="521"/>
      <c r="F1335" s="521"/>
      <c r="G1335" s="522"/>
      <c r="H1335" s="410">
        <f>SUM(H1337:H1337)</f>
        <v>16</v>
      </c>
      <c r="I1335" s="444" t="s">
        <v>8</v>
      </c>
    </row>
    <row r="1336" spans="1:9" s="41" customFormat="1" ht="14.25" customHeight="1" x14ac:dyDescent="0.2">
      <c r="A1336" s="441"/>
      <c r="B1336" s="438"/>
      <c r="C1336" s="337"/>
      <c r="D1336" s="338"/>
      <c r="E1336" s="338"/>
      <c r="F1336" s="339"/>
      <c r="G1336" s="338"/>
      <c r="H1336" s="340"/>
      <c r="I1336" s="341"/>
    </row>
    <row r="1337" spans="1:9" s="41" customFormat="1" ht="14.25" customHeight="1" x14ac:dyDescent="0.2">
      <c r="A1337" s="335"/>
      <c r="B1337" s="622" t="s">
        <v>455</v>
      </c>
      <c r="C1337" s="337">
        <v>8</v>
      </c>
      <c r="D1337" s="339">
        <v>2</v>
      </c>
      <c r="E1337" s="428"/>
      <c r="F1337" s="428"/>
      <c r="G1337" s="338">
        <f>PRODUCT(D1337:F1337)</f>
        <v>2</v>
      </c>
      <c r="H1337" s="340">
        <f>G1337*C1337</f>
        <v>16</v>
      </c>
      <c r="I1337" s="341" t="s">
        <v>8</v>
      </c>
    </row>
    <row r="1338" spans="1:9" s="41" customFormat="1" ht="14.25" customHeight="1" thickBot="1" x14ac:dyDescent="0.25">
      <c r="A1338" s="445"/>
      <c r="B1338" s="443"/>
      <c r="C1338" s="343"/>
      <c r="D1338" s="344"/>
      <c r="E1338" s="344"/>
      <c r="F1338" s="446"/>
      <c r="G1338" s="338"/>
      <c r="H1338" s="433"/>
      <c r="I1338" s="346"/>
    </row>
    <row r="1339" spans="1:9" s="12" customFormat="1" ht="12.75" customHeight="1" thickBot="1" x14ac:dyDescent="0.25">
      <c r="A1339" s="408" t="s">
        <v>515</v>
      </c>
      <c r="B1339" s="520" t="s">
        <v>773</v>
      </c>
      <c r="C1339" s="521"/>
      <c r="D1339" s="521"/>
      <c r="E1339" s="521"/>
      <c r="F1339" s="521"/>
      <c r="G1339" s="522"/>
      <c r="H1339" s="410">
        <f>SUM(H1341:H1343)</f>
        <v>195</v>
      </c>
      <c r="I1339" s="444" t="s">
        <v>8</v>
      </c>
    </row>
    <row r="1340" spans="1:9" s="41" customFormat="1" x14ac:dyDescent="0.2">
      <c r="A1340" s="441"/>
      <c r="B1340" s="438"/>
      <c r="C1340" s="337"/>
      <c r="D1340" s="338"/>
      <c r="E1340" s="338"/>
      <c r="F1340" s="339"/>
      <c r="G1340" s="338"/>
      <c r="H1340" s="340"/>
      <c r="I1340" s="341"/>
    </row>
    <row r="1341" spans="1:9" s="42" customFormat="1" ht="13.5" customHeight="1" x14ac:dyDescent="0.2">
      <c r="A1341" s="335"/>
      <c r="B1341" s="622" t="s">
        <v>397</v>
      </c>
      <c r="C1341" s="337">
        <v>45</v>
      </c>
      <c r="D1341" s="339">
        <v>3</v>
      </c>
      <c r="E1341" s="428"/>
      <c r="F1341" s="428"/>
      <c r="G1341" s="338">
        <f>PRODUCT(D1341:F1341)</f>
        <v>3</v>
      </c>
      <c r="H1341" s="340">
        <f>G1341*C1341</f>
        <v>135</v>
      </c>
      <c r="I1341" s="341" t="s">
        <v>8</v>
      </c>
    </row>
    <row r="1342" spans="1:9" s="42" customFormat="1" ht="13.5" customHeight="1" x14ac:dyDescent="0.2">
      <c r="A1342" s="335"/>
      <c r="B1342" s="622" t="s">
        <v>455</v>
      </c>
      <c r="C1342" s="337">
        <v>4</v>
      </c>
      <c r="D1342" s="339">
        <v>3</v>
      </c>
      <c r="E1342" s="428"/>
      <c r="F1342" s="428"/>
      <c r="G1342" s="338">
        <f>PRODUCT(D1342:F1342)</f>
        <v>3</v>
      </c>
      <c r="H1342" s="340">
        <f>G1342*C1342</f>
        <v>12</v>
      </c>
      <c r="I1342" s="341" t="s">
        <v>8</v>
      </c>
    </row>
    <row r="1343" spans="1:9" s="42" customFormat="1" ht="13.5" customHeight="1" x14ac:dyDescent="0.2">
      <c r="A1343" s="335"/>
      <c r="B1343" s="621"/>
      <c r="C1343" s="337">
        <v>16</v>
      </c>
      <c r="D1343" s="339">
        <v>3</v>
      </c>
      <c r="E1343" s="428"/>
      <c r="F1343" s="428"/>
      <c r="G1343" s="338">
        <f>PRODUCT(D1343:F1343)</f>
        <v>3</v>
      </c>
      <c r="H1343" s="340">
        <f>G1343*C1343</f>
        <v>48</v>
      </c>
      <c r="I1343" s="341" t="s">
        <v>8</v>
      </c>
    </row>
    <row r="1344" spans="1:9" s="41" customFormat="1" ht="14.25" customHeight="1" thickBot="1" x14ac:dyDescent="0.25">
      <c r="A1344" s="445"/>
      <c r="B1344" s="443"/>
      <c r="C1344" s="337"/>
      <c r="D1344" s="338"/>
      <c r="E1344" s="338"/>
      <c r="F1344" s="338"/>
      <c r="G1344" s="338"/>
      <c r="H1344" s="433"/>
      <c r="I1344" s="341"/>
    </row>
    <row r="1345" spans="1:9" s="12" customFormat="1" ht="12.75" customHeight="1" thickBot="1" x14ac:dyDescent="0.25">
      <c r="A1345" s="408" t="s">
        <v>516</v>
      </c>
      <c r="B1345" s="520" t="s">
        <v>774</v>
      </c>
      <c r="C1345" s="521"/>
      <c r="D1345" s="521"/>
      <c r="E1345" s="521"/>
      <c r="F1345" s="521"/>
      <c r="G1345" s="522"/>
      <c r="H1345" s="410">
        <f>SUM(H1346:H1356)</f>
        <v>441.3119999999999</v>
      </c>
      <c r="I1345" s="444" t="s">
        <v>2</v>
      </c>
    </row>
    <row r="1346" spans="1:9" s="41" customFormat="1" ht="14.25" customHeight="1" x14ac:dyDescent="0.2">
      <c r="A1346" s="335"/>
      <c r="B1346" s="541" t="s">
        <v>450</v>
      </c>
      <c r="C1346" s="337"/>
      <c r="D1346" s="338"/>
      <c r="E1346" s="338"/>
      <c r="F1346" s="339"/>
      <c r="G1346" s="338"/>
      <c r="H1346" s="340"/>
      <c r="I1346" s="341"/>
    </row>
    <row r="1347" spans="1:9" s="44" customFormat="1" ht="13.5" customHeight="1" x14ac:dyDescent="0.2">
      <c r="A1347" s="335"/>
      <c r="B1347" s="620" t="s">
        <v>454</v>
      </c>
      <c r="C1347" s="337">
        <v>42</v>
      </c>
      <c r="D1347" s="339"/>
      <c r="E1347" s="428">
        <v>2.25</v>
      </c>
      <c r="F1347" s="428">
        <v>1.1000000000000001</v>
      </c>
      <c r="G1347" s="338">
        <f>PRODUCT(D1347:F1347)</f>
        <v>2.4750000000000001</v>
      </c>
      <c r="H1347" s="340">
        <f>G1347*C1347</f>
        <v>103.95</v>
      </c>
      <c r="I1347" s="341" t="s">
        <v>2</v>
      </c>
    </row>
    <row r="1348" spans="1:9" s="41" customFormat="1" ht="14.25" customHeight="1" x14ac:dyDescent="0.2">
      <c r="A1348" s="335"/>
      <c r="B1348" s="620"/>
      <c r="C1348" s="337">
        <v>42</v>
      </c>
      <c r="D1348" s="339"/>
      <c r="E1348" s="428">
        <v>3.35</v>
      </c>
      <c r="F1348" s="428">
        <v>0.35</v>
      </c>
      <c r="G1348" s="338">
        <f t="shared" ref="G1348:G1356" si="80">PRODUCT(D1348:F1348)</f>
        <v>1.1724999999999999</v>
      </c>
      <c r="H1348" s="340">
        <f t="shared" ref="H1348:H1356" si="81">G1348*C1348</f>
        <v>49.244999999999997</v>
      </c>
      <c r="I1348" s="341" t="s">
        <v>2</v>
      </c>
    </row>
    <row r="1349" spans="1:9" s="41" customFormat="1" x14ac:dyDescent="0.2">
      <c r="A1349" s="335"/>
      <c r="B1349" s="620" t="s">
        <v>395</v>
      </c>
      <c r="C1349" s="337">
        <v>42</v>
      </c>
      <c r="D1349" s="339"/>
      <c r="E1349" s="428">
        <v>3.35</v>
      </c>
      <c r="F1349" s="428">
        <v>0.35</v>
      </c>
      <c r="G1349" s="338">
        <f t="shared" si="80"/>
        <v>1.1724999999999999</v>
      </c>
      <c r="H1349" s="340">
        <f t="shared" si="81"/>
        <v>49.244999999999997</v>
      </c>
      <c r="I1349" s="341" t="s">
        <v>2</v>
      </c>
    </row>
    <row r="1350" spans="1:9" s="41" customFormat="1" x14ac:dyDescent="0.2">
      <c r="A1350" s="335"/>
      <c r="B1350" s="620" t="s">
        <v>452</v>
      </c>
      <c r="C1350" s="337">
        <v>2</v>
      </c>
      <c r="D1350" s="339"/>
      <c r="E1350" s="428">
        <v>3.13</v>
      </c>
      <c r="F1350" s="428">
        <v>0.6</v>
      </c>
      <c r="G1350" s="338">
        <f t="shared" si="80"/>
        <v>1.8779999999999999</v>
      </c>
      <c r="H1350" s="340">
        <f t="shared" si="81"/>
        <v>3.7559999999999998</v>
      </c>
      <c r="I1350" s="341" t="s">
        <v>2</v>
      </c>
    </row>
    <row r="1351" spans="1:9" s="41" customFormat="1" x14ac:dyDescent="0.2">
      <c r="A1351" s="335"/>
      <c r="B1351" s="620"/>
      <c r="C1351" s="337"/>
      <c r="D1351" s="339"/>
      <c r="E1351" s="428"/>
      <c r="F1351" s="428"/>
      <c r="G1351" s="338"/>
      <c r="H1351" s="340"/>
      <c r="I1351" s="341"/>
    </row>
    <row r="1352" spans="1:9" s="41" customFormat="1" x14ac:dyDescent="0.2">
      <c r="A1352" s="335"/>
      <c r="B1352" s="542" t="s">
        <v>453</v>
      </c>
      <c r="C1352" s="337"/>
      <c r="D1352" s="338"/>
      <c r="E1352" s="338"/>
      <c r="F1352" s="339"/>
      <c r="G1352" s="338"/>
      <c r="H1352" s="340"/>
      <c r="I1352" s="341"/>
    </row>
    <row r="1353" spans="1:9" s="41" customFormat="1" x14ac:dyDescent="0.2">
      <c r="A1353" s="335"/>
      <c r="B1353" s="620" t="s">
        <v>454</v>
      </c>
      <c r="C1353" s="337">
        <v>48</v>
      </c>
      <c r="D1353" s="339"/>
      <c r="E1353" s="428">
        <v>2.25</v>
      </c>
      <c r="F1353" s="428">
        <v>1.1000000000000001</v>
      </c>
      <c r="G1353" s="338">
        <f t="shared" si="80"/>
        <v>2.4750000000000001</v>
      </c>
      <c r="H1353" s="340">
        <f t="shared" si="81"/>
        <v>118.80000000000001</v>
      </c>
      <c r="I1353" s="341" t="s">
        <v>2</v>
      </c>
    </row>
    <row r="1354" spans="1:9" s="41" customFormat="1" x14ac:dyDescent="0.2">
      <c r="A1354" s="335"/>
      <c r="B1354" s="620"/>
      <c r="C1354" s="337">
        <v>48</v>
      </c>
      <c r="D1354" s="339"/>
      <c r="E1354" s="428">
        <v>3.35</v>
      </c>
      <c r="F1354" s="428">
        <v>0.35</v>
      </c>
      <c r="G1354" s="338">
        <f t="shared" si="80"/>
        <v>1.1724999999999999</v>
      </c>
      <c r="H1354" s="340">
        <f t="shared" si="81"/>
        <v>56.279999999999994</v>
      </c>
      <c r="I1354" s="341" t="s">
        <v>2</v>
      </c>
    </row>
    <row r="1355" spans="1:9" s="41" customFormat="1" x14ac:dyDescent="0.2">
      <c r="A1355" s="335"/>
      <c r="B1355" s="620" t="s">
        <v>395</v>
      </c>
      <c r="C1355" s="337">
        <v>48</v>
      </c>
      <c r="D1355" s="339"/>
      <c r="E1355" s="428">
        <v>3.35</v>
      </c>
      <c r="F1355" s="428">
        <v>0.35</v>
      </c>
      <c r="G1355" s="338">
        <f t="shared" si="80"/>
        <v>1.1724999999999999</v>
      </c>
      <c r="H1355" s="340">
        <f t="shared" si="81"/>
        <v>56.279999999999994</v>
      </c>
      <c r="I1355" s="341" t="s">
        <v>2</v>
      </c>
    </row>
    <row r="1356" spans="1:9" s="41" customFormat="1" x14ac:dyDescent="0.2">
      <c r="A1356" s="335"/>
      <c r="B1356" s="620" t="s">
        <v>452</v>
      </c>
      <c r="C1356" s="337">
        <v>2</v>
      </c>
      <c r="D1356" s="339"/>
      <c r="E1356" s="428">
        <v>3.13</v>
      </c>
      <c r="F1356" s="428">
        <v>0.6</v>
      </c>
      <c r="G1356" s="338">
        <f t="shared" si="80"/>
        <v>1.8779999999999999</v>
      </c>
      <c r="H1356" s="340">
        <f t="shared" si="81"/>
        <v>3.7559999999999998</v>
      </c>
      <c r="I1356" s="341" t="s">
        <v>2</v>
      </c>
    </row>
    <row r="1357" spans="1:9" s="41" customFormat="1" ht="13.5" thickBot="1" x14ac:dyDescent="0.25">
      <c r="A1357" s="335"/>
      <c r="B1357" s="621"/>
      <c r="C1357" s="337"/>
      <c r="D1357" s="339"/>
      <c r="E1357" s="428"/>
      <c r="F1357" s="428"/>
      <c r="G1357" s="338"/>
      <c r="H1357" s="340"/>
      <c r="I1357" s="341"/>
    </row>
    <row r="1358" spans="1:9" s="12" customFormat="1" ht="12.75" customHeight="1" thickBot="1" x14ac:dyDescent="0.25">
      <c r="A1358" s="408" t="s">
        <v>517</v>
      </c>
      <c r="B1358" s="520" t="s">
        <v>398</v>
      </c>
      <c r="C1358" s="521"/>
      <c r="D1358" s="521"/>
      <c r="E1358" s="521"/>
      <c r="F1358" s="521"/>
      <c r="G1358" s="522"/>
      <c r="H1358" s="410">
        <f>SUM(H1359:H1367)</f>
        <v>3039.0670999999998</v>
      </c>
      <c r="I1358" s="444" t="s">
        <v>2</v>
      </c>
    </row>
    <row r="1359" spans="1:9" s="41" customFormat="1" ht="14.25" customHeight="1" x14ac:dyDescent="0.2">
      <c r="A1359" s="335"/>
      <c r="B1359" s="541" t="s">
        <v>450</v>
      </c>
      <c r="C1359" s="337"/>
      <c r="D1359" s="338"/>
      <c r="E1359" s="338"/>
      <c r="F1359" s="339"/>
      <c r="G1359" s="338"/>
      <c r="H1359" s="340"/>
      <c r="I1359" s="341"/>
    </row>
    <row r="1360" spans="1:9" s="41" customFormat="1" ht="14.25" customHeight="1" x14ac:dyDescent="0.2">
      <c r="A1360" s="335"/>
      <c r="B1360" s="620"/>
      <c r="C1360" s="337">
        <v>1</v>
      </c>
      <c r="D1360" s="338">
        <v>42.45</v>
      </c>
      <c r="E1360" s="338">
        <v>9.0299999999999994</v>
      </c>
      <c r="F1360" s="339"/>
      <c r="G1360" s="338">
        <f>E1360*D1360</f>
        <v>383.32350000000002</v>
      </c>
      <c r="H1360" s="340">
        <f>G1360*C1360</f>
        <v>383.32350000000002</v>
      </c>
      <c r="I1360" s="341" t="s">
        <v>2</v>
      </c>
    </row>
    <row r="1361" spans="1:9" s="41" customFormat="1" ht="14.25" customHeight="1" x14ac:dyDescent="0.2">
      <c r="A1361" s="335"/>
      <c r="B1361" s="620"/>
      <c r="C1361" s="337">
        <v>3</v>
      </c>
      <c r="D1361" s="338">
        <f>34.72+0.8</f>
        <v>35.519999999999996</v>
      </c>
      <c r="E1361" s="338">
        <v>9.0299999999999994</v>
      </c>
      <c r="F1361" s="339"/>
      <c r="G1361" s="338">
        <f t="shared" ref="G1361:G1367" si="82">E1361*D1361</f>
        <v>320.74559999999997</v>
      </c>
      <c r="H1361" s="340">
        <f t="shared" ref="H1361:H1367" si="83">G1361*C1361</f>
        <v>962.2367999999999</v>
      </c>
      <c r="I1361" s="341" t="s">
        <v>2</v>
      </c>
    </row>
    <row r="1362" spans="1:9" s="41" customFormat="1" ht="14.25" customHeight="1" x14ac:dyDescent="0.2">
      <c r="A1362" s="335"/>
      <c r="B1362" s="620"/>
      <c r="C1362" s="337"/>
      <c r="D1362" s="338"/>
      <c r="E1362" s="338"/>
      <c r="F1362" s="339"/>
      <c r="G1362" s="338"/>
      <c r="H1362" s="340"/>
      <c r="I1362" s="341"/>
    </row>
    <row r="1363" spans="1:9" s="41" customFormat="1" ht="14.25" customHeight="1" x14ac:dyDescent="0.2">
      <c r="A1363" s="335"/>
      <c r="B1363" s="620" t="s">
        <v>452</v>
      </c>
      <c r="C1363" s="337">
        <v>1</v>
      </c>
      <c r="D1363" s="338">
        <v>8.7200000000000006</v>
      </c>
      <c r="E1363" s="338">
        <v>5.21</v>
      </c>
      <c r="F1363" s="339"/>
      <c r="G1363" s="338">
        <f t="shared" si="82"/>
        <v>45.431200000000004</v>
      </c>
      <c r="H1363" s="340">
        <f t="shared" si="83"/>
        <v>45.431200000000004</v>
      </c>
      <c r="I1363" s="341" t="s">
        <v>2</v>
      </c>
    </row>
    <row r="1364" spans="1:9" s="41" customFormat="1" ht="14.25" customHeight="1" x14ac:dyDescent="0.2">
      <c r="A1364" s="335"/>
      <c r="B1364" s="620"/>
      <c r="C1364" s="337"/>
      <c r="D1364" s="338"/>
      <c r="E1364" s="338"/>
      <c r="F1364" s="339"/>
      <c r="G1364" s="338"/>
      <c r="H1364" s="340"/>
      <c r="I1364" s="341"/>
    </row>
    <row r="1365" spans="1:9" s="41" customFormat="1" ht="14.25" customHeight="1" x14ac:dyDescent="0.2">
      <c r="A1365" s="335"/>
      <c r="B1365" s="542" t="s">
        <v>453</v>
      </c>
      <c r="C1365" s="337"/>
      <c r="D1365" s="338"/>
      <c r="E1365" s="338"/>
      <c r="F1365" s="339"/>
      <c r="G1365" s="338"/>
      <c r="H1365" s="340"/>
      <c r="I1365" s="341"/>
    </row>
    <row r="1366" spans="1:9" s="41" customFormat="1" ht="14.25" customHeight="1" x14ac:dyDescent="0.2">
      <c r="A1366" s="335"/>
      <c r="B1366" s="620"/>
      <c r="C1366" s="337">
        <v>12</v>
      </c>
      <c r="D1366" s="338">
        <v>14.79</v>
      </c>
      <c r="E1366" s="338">
        <v>9.0299999999999994</v>
      </c>
      <c r="F1366" s="339"/>
      <c r="G1366" s="338">
        <f t="shared" si="82"/>
        <v>133.55369999999999</v>
      </c>
      <c r="H1366" s="340">
        <f t="shared" si="83"/>
        <v>1602.6443999999999</v>
      </c>
      <c r="I1366" s="341" t="s">
        <v>2</v>
      </c>
    </row>
    <row r="1367" spans="1:9" s="41" customFormat="1" ht="14.25" customHeight="1" x14ac:dyDescent="0.2">
      <c r="A1367" s="335"/>
      <c r="B1367" s="620" t="s">
        <v>452</v>
      </c>
      <c r="C1367" s="337">
        <v>1</v>
      </c>
      <c r="D1367" s="338">
        <v>8.7200000000000006</v>
      </c>
      <c r="E1367" s="338">
        <v>5.21</v>
      </c>
      <c r="F1367" s="339"/>
      <c r="G1367" s="338">
        <f t="shared" si="82"/>
        <v>45.431200000000004</v>
      </c>
      <c r="H1367" s="340">
        <f t="shared" si="83"/>
        <v>45.431200000000004</v>
      </c>
      <c r="I1367" s="341" t="s">
        <v>2</v>
      </c>
    </row>
    <row r="1368" spans="1:9" s="41" customFormat="1" ht="13.5" thickBot="1" x14ac:dyDescent="0.25">
      <c r="A1368" s="353"/>
      <c r="B1368" s="447"/>
      <c r="C1368" s="448"/>
      <c r="D1368" s="449"/>
      <c r="E1368" s="450"/>
      <c r="F1368" s="450"/>
      <c r="G1368" s="357"/>
      <c r="H1368" s="358"/>
      <c r="I1368" s="451"/>
    </row>
    <row r="1369" spans="1:9" s="12" customFormat="1" ht="12.75" customHeight="1" thickBot="1" x14ac:dyDescent="0.25">
      <c r="A1369" s="408" t="s">
        <v>518</v>
      </c>
      <c r="B1369" s="520" t="s">
        <v>400</v>
      </c>
      <c r="C1369" s="521"/>
      <c r="D1369" s="521"/>
      <c r="E1369" s="521"/>
      <c r="F1369" s="521"/>
      <c r="G1369" s="522"/>
      <c r="H1369" s="410">
        <f>SUM(H1370:H1374)</f>
        <v>3061.32</v>
      </c>
      <c r="I1369" s="444" t="s">
        <v>2</v>
      </c>
    </row>
    <row r="1370" spans="1:9" s="41" customFormat="1" ht="14.25" customHeight="1" x14ac:dyDescent="0.2">
      <c r="A1370" s="335"/>
      <c r="B1370" s="438"/>
      <c r="C1370" s="337"/>
      <c r="D1370" s="338"/>
      <c r="E1370" s="338"/>
      <c r="F1370" s="339"/>
      <c r="G1370" s="338"/>
      <c r="H1370" s="340"/>
      <c r="I1370" s="341"/>
    </row>
    <row r="1371" spans="1:9" s="42" customFormat="1" ht="13.5" customHeight="1" x14ac:dyDescent="0.2">
      <c r="A1371" s="335"/>
      <c r="B1371" s="620" t="s">
        <v>399</v>
      </c>
      <c r="C1371" s="452">
        <v>2</v>
      </c>
      <c r="D1371" s="732">
        <v>333.2</v>
      </c>
      <c r="E1371" s="733"/>
      <c r="F1371" s="439"/>
      <c r="G1371" s="338">
        <f>PRODUCT(D1371:F1371)</f>
        <v>333.2</v>
      </c>
      <c r="H1371" s="340">
        <f>G1371*C1371</f>
        <v>666.4</v>
      </c>
      <c r="I1371" s="341" t="s">
        <v>2</v>
      </c>
    </row>
    <row r="1372" spans="1:9" s="42" customFormat="1" ht="13.5" customHeight="1" x14ac:dyDescent="0.2">
      <c r="A1372" s="335"/>
      <c r="B1372" s="621"/>
      <c r="C1372" s="452">
        <v>2</v>
      </c>
      <c r="D1372" s="732">
        <v>277.76</v>
      </c>
      <c r="E1372" s="733"/>
      <c r="F1372" s="439"/>
      <c r="G1372" s="338">
        <f t="shared" ref="G1372:G1374" si="84">PRODUCT(D1372:F1372)</f>
        <v>277.76</v>
      </c>
      <c r="H1372" s="340">
        <f t="shared" ref="H1372:H1374" si="85">G1372*C1372</f>
        <v>555.52</v>
      </c>
      <c r="I1372" s="341" t="s">
        <v>2</v>
      </c>
    </row>
    <row r="1373" spans="1:9" s="42" customFormat="1" ht="13.5" customHeight="1" x14ac:dyDescent="0.2">
      <c r="A1373" s="335"/>
      <c r="B1373" s="621"/>
      <c r="C1373" s="452">
        <v>4</v>
      </c>
      <c r="D1373" s="732">
        <v>39.85</v>
      </c>
      <c r="E1373" s="733"/>
      <c r="F1373" s="439"/>
      <c r="G1373" s="338">
        <f t="shared" si="84"/>
        <v>39.85</v>
      </c>
      <c r="H1373" s="340">
        <f t="shared" si="85"/>
        <v>159.4</v>
      </c>
      <c r="I1373" s="341" t="s">
        <v>2</v>
      </c>
    </row>
    <row r="1374" spans="1:9" s="42" customFormat="1" ht="13.5" customHeight="1" x14ac:dyDescent="0.2">
      <c r="A1374" s="335"/>
      <c r="B1374" s="621"/>
      <c r="C1374" s="452">
        <v>4</v>
      </c>
      <c r="D1374" s="732">
        <v>420</v>
      </c>
      <c r="E1374" s="733"/>
      <c r="F1374" s="439"/>
      <c r="G1374" s="338">
        <f t="shared" si="84"/>
        <v>420</v>
      </c>
      <c r="H1374" s="340">
        <f t="shared" si="85"/>
        <v>1680</v>
      </c>
      <c r="I1374" s="341" t="s">
        <v>2</v>
      </c>
    </row>
    <row r="1375" spans="1:9" s="42" customFormat="1" ht="13.5" customHeight="1" thickBot="1" x14ac:dyDescent="0.25">
      <c r="A1375" s="335"/>
      <c r="B1375" s="621"/>
      <c r="C1375" s="452"/>
      <c r="D1375" s="453"/>
      <c r="E1375" s="439"/>
      <c r="F1375" s="439"/>
      <c r="G1375" s="338"/>
      <c r="H1375" s="340"/>
      <c r="I1375" s="341"/>
    </row>
    <row r="1376" spans="1:9" s="12" customFormat="1" ht="12.75" customHeight="1" thickBot="1" x14ac:dyDescent="0.25">
      <c r="A1376" s="408" t="s">
        <v>519</v>
      </c>
      <c r="B1376" s="520" t="s">
        <v>402</v>
      </c>
      <c r="C1376" s="521"/>
      <c r="D1376" s="521"/>
      <c r="E1376" s="521"/>
      <c r="F1376" s="521"/>
      <c r="G1376" s="522"/>
      <c r="H1376" s="410">
        <f>SUM(H1377:H1381)</f>
        <v>508.12</v>
      </c>
      <c r="I1376" s="444" t="s">
        <v>9</v>
      </c>
    </row>
    <row r="1377" spans="1:11" s="42" customFormat="1" ht="13.5" customHeight="1" x14ac:dyDescent="0.2">
      <c r="A1377" s="335"/>
      <c r="B1377" s="535" t="s">
        <v>450</v>
      </c>
      <c r="C1377" s="454"/>
      <c r="D1377" s="344"/>
      <c r="E1377" s="338"/>
      <c r="F1377" s="339"/>
      <c r="G1377" s="338"/>
      <c r="H1377" s="340"/>
      <c r="I1377" s="341"/>
    </row>
    <row r="1378" spans="1:11" s="42" customFormat="1" ht="13.5" customHeight="1" x14ac:dyDescent="0.2">
      <c r="A1378" s="335"/>
      <c r="B1378" s="536" t="s">
        <v>401</v>
      </c>
      <c r="C1378" s="455">
        <v>17</v>
      </c>
      <c r="D1378" s="455">
        <v>8</v>
      </c>
      <c r="E1378" s="344"/>
      <c r="F1378" s="436"/>
      <c r="G1378" s="338">
        <f>D1378</f>
        <v>8</v>
      </c>
      <c r="H1378" s="340">
        <f>C1378*G1378</f>
        <v>136</v>
      </c>
      <c r="I1378" s="341" t="s">
        <v>9</v>
      </c>
    </row>
    <row r="1379" spans="1:11" s="42" customFormat="1" ht="13.5" customHeight="1" x14ac:dyDescent="0.2">
      <c r="A1379" s="335"/>
      <c r="B1379" s="536"/>
      <c r="C1379" s="455">
        <v>2</v>
      </c>
      <c r="D1379" s="455">
        <v>5.03</v>
      </c>
      <c r="E1379" s="344"/>
      <c r="F1379" s="436"/>
      <c r="G1379" s="338">
        <f t="shared" ref="G1379:G1381" si="86">D1379</f>
        <v>5.03</v>
      </c>
      <c r="H1379" s="340">
        <f t="shared" ref="H1379:H1381" si="87">C1379*G1379</f>
        <v>10.06</v>
      </c>
      <c r="I1379" s="341" t="s">
        <v>9</v>
      </c>
    </row>
    <row r="1380" spans="1:11" s="42" customFormat="1" ht="13.5" customHeight="1" x14ac:dyDescent="0.2">
      <c r="A1380" s="335"/>
      <c r="B1380" s="536" t="s">
        <v>450</v>
      </c>
      <c r="C1380" s="456">
        <v>4</v>
      </c>
      <c r="D1380" s="455">
        <f>28+15+15+15+15</f>
        <v>88</v>
      </c>
      <c r="E1380" s="344"/>
      <c r="F1380" s="436"/>
      <c r="G1380" s="338">
        <f t="shared" si="86"/>
        <v>88</v>
      </c>
      <c r="H1380" s="340">
        <f t="shared" si="87"/>
        <v>352</v>
      </c>
      <c r="I1380" s="341" t="s">
        <v>9</v>
      </c>
    </row>
    <row r="1381" spans="1:11" s="42" customFormat="1" ht="13.5" customHeight="1" x14ac:dyDescent="0.2">
      <c r="A1381" s="335"/>
      <c r="B1381" s="429"/>
      <c r="C1381" s="455">
        <v>2</v>
      </c>
      <c r="D1381" s="455">
        <v>5.03</v>
      </c>
      <c r="E1381" s="344"/>
      <c r="F1381" s="436"/>
      <c r="G1381" s="338">
        <f t="shared" si="86"/>
        <v>5.03</v>
      </c>
      <c r="H1381" s="340">
        <f t="shared" si="87"/>
        <v>10.06</v>
      </c>
      <c r="I1381" s="341" t="s">
        <v>9</v>
      </c>
    </row>
    <row r="1382" spans="1:11" s="42" customFormat="1" ht="13.5" customHeight="1" thickBot="1" x14ac:dyDescent="0.25">
      <c r="A1382" s="353"/>
      <c r="B1382" s="457"/>
      <c r="C1382" s="355"/>
      <c r="D1382" s="449"/>
      <c r="E1382" s="450"/>
      <c r="F1382" s="450"/>
      <c r="G1382" s="357"/>
      <c r="H1382" s="358"/>
      <c r="I1382" s="451"/>
    </row>
    <row r="1383" spans="1:11" s="12" customFormat="1" ht="12.75" customHeight="1" thickBot="1" x14ac:dyDescent="0.25">
      <c r="A1383" s="408" t="s">
        <v>520</v>
      </c>
      <c r="B1383" s="520" t="s">
        <v>468</v>
      </c>
      <c r="C1383" s="521"/>
      <c r="D1383" s="521"/>
      <c r="E1383" s="521"/>
      <c r="F1383" s="521"/>
      <c r="G1383" s="522"/>
      <c r="H1383" s="410">
        <f>SUM(H1384:H1387)</f>
        <v>326</v>
      </c>
      <c r="I1383" s="444" t="s">
        <v>8</v>
      </c>
    </row>
    <row r="1384" spans="1:11" s="42" customFormat="1" ht="13.5" customHeight="1" x14ac:dyDescent="0.2">
      <c r="A1384" s="335"/>
      <c r="B1384" s="438"/>
      <c r="C1384" s="454"/>
      <c r="D1384" s="344"/>
      <c r="E1384" s="338"/>
      <c r="F1384" s="339"/>
      <c r="G1384" s="338"/>
      <c r="H1384" s="340"/>
      <c r="I1384" s="341"/>
    </row>
    <row r="1385" spans="1:11" s="42" customFormat="1" ht="13.5" customHeight="1" x14ac:dyDescent="0.2">
      <c r="A1385" s="335"/>
      <c r="B1385" s="540" t="s">
        <v>456</v>
      </c>
      <c r="C1385" s="455">
        <v>1</v>
      </c>
      <c r="D1385" s="455"/>
      <c r="E1385" s="344"/>
      <c r="F1385" s="436"/>
      <c r="G1385" s="338">
        <v>58</v>
      </c>
      <c r="H1385" s="340">
        <f>C1385*G1385</f>
        <v>58</v>
      </c>
      <c r="I1385" s="341" t="s">
        <v>8</v>
      </c>
    </row>
    <row r="1386" spans="1:11" s="42" customFormat="1" ht="13.5" customHeight="1" x14ac:dyDescent="0.2">
      <c r="A1386" s="335"/>
      <c r="B1386" s="540" t="s">
        <v>458</v>
      </c>
      <c r="C1386" s="455">
        <v>1</v>
      </c>
      <c r="D1386" s="455"/>
      <c r="E1386" s="344"/>
      <c r="F1386" s="436"/>
      <c r="G1386" s="338">
        <f>28+84</f>
        <v>112</v>
      </c>
      <c r="H1386" s="340">
        <f>C1386*G1386</f>
        <v>112</v>
      </c>
      <c r="I1386" s="341" t="s">
        <v>8</v>
      </c>
    </row>
    <row r="1387" spans="1:11" s="42" customFormat="1" ht="13.5" customHeight="1" x14ac:dyDescent="0.2">
      <c r="A1387" s="335"/>
      <c r="B1387" s="540" t="s">
        <v>459</v>
      </c>
      <c r="C1387" s="455">
        <v>1</v>
      </c>
      <c r="D1387" s="455"/>
      <c r="E1387" s="344"/>
      <c r="F1387" s="436"/>
      <c r="G1387" s="338">
        <v>156</v>
      </c>
      <c r="H1387" s="340">
        <f>C1387*G1387</f>
        <v>156</v>
      </c>
      <c r="I1387" s="341" t="s">
        <v>8</v>
      </c>
    </row>
    <row r="1388" spans="1:11" s="42" customFormat="1" ht="13.5" customHeight="1" thickBot="1" x14ac:dyDescent="0.25">
      <c r="A1388" s="353"/>
      <c r="B1388" s="447"/>
      <c r="C1388" s="448"/>
      <c r="D1388" s="349"/>
      <c r="E1388" s="450"/>
      <c r="F1388" s="450"/>
      <c r="G1388" s="357"/>
      <c r="H1388" s="358"/>
      <c r="I1388" s="451"/>
    </row>
    <row r="1389" spans="1:11" s="12" customFormat="1" ht="12.75" customHeight="1" thickBot="1" x14ac:dyDescent="0.25">
      <c r="A1389" s="408" t="s">
        <v>521</v>
      </c>
      <c r="B1389" s="520" t="s">
        <v>775</v>
      </c>
      <c r="C1389" s="521"/>
      <c r="D1389" s="521"/>
      <c r="E1389" s="521"/>
      <c r="F1389" s="521"/>
      <c r="G1389" s="522"/>
      <c r="H1389" s="410">
        <f>SUM(H1390:H1392)</f>
        <v>417.40799999999996</v>
      </c>
      <c r="I1389" s="444" t="s">
        <v>2</v>
      </c>
    </row>
    <row r="1390" spans="1:11" s="42" customFormat="1" ht="13.5" customHeight="1" x14ac:dyDescent="0.2">
      <c r="A1390" s="335"/>
      <c r="B1390" s="438"/>
      <c r="C1390" s="337"/>
      <c r="D1390" s="338"/>
      <c r="E1390" s="338"/>
      <c r="F1390" s="339"/>
      <c r="G1390" s="338"/>
      <c r="H1390" s="340"/>
      <c r="I1390" s="341"/>
    </row>
    <row r="1391" spans="1:11" s="42" customFormat="1" ht="13.5" customHeight="1" x14ac:dyDescent="0.2">
      <c r="A1391" s="335"/>
      <c r="B1391" s="540" t="s">
        <v>456</v>
      </c>
      <c r="C1391" s="623">
        <v>1</v>
      </c>
      <c r="D1391" s="459">
        <v>173.92</v>
      </c>
      <c r="E1391" s="459"/>
      <c r="F1391" s="436">
        <v>2.4</v>
      </c>
      <c r="G1391" s="338">
        <f>PRODUCT(D1391:F1391)</f>
        <v>417.40799999999996</v>
      </c>
      <c r="H1391" s="340">
        <f>C1391*G1391</f>
        <v>417.40799999999996</v>
      </c>
      <c r="I1391" s="341" t="s">
        <v>2</v>
      </c>
      <c r="K1391" s="66"/>
    </row>
    <row r="1392" spans="1:11" s="42" customFormat="1" ht="13.5" customHeight="1" thickBot="1" x14ac:dyDescent="0.25">
      <c r="A1392" s="353"/>
      <c r="B1392" s="447"/>
      <c r="C1392" s="448"/>
      <c r="D1392" s="449"/>
      <c r="E1392" s="450"/>
      <c r="F1392" s="450"/>
      <c r="G1392" s="357"/>
      <c r="H1392" s="358"/>
      <c r="I1392" s="451"/>
    </row>
    <row r="1393" spans="1:9" s="12" customFormat="1" ht="12.75" customHeight="1" thickBot="1" x14ac:dyDescent="0.25">
      <c r="A1393" s="408" t="s">
        <v>522</v>
      </c>
      <c r="B1393" s="520" t="s">
        <v>467</v>
      </c>
      <c r="C1393" s="521"/>
      <c r="D1393" s="521"/>
      <c r="E1393" s="521"/>
      <c r="F1393" s="521"/>
      <c r="G1393" s="522"/>
      <c r="H1393" s="410">
        <f>SUM(H1394:H1399)</f>
        <v>801.38</v>
      </c>
      <c r="I1393" s="444" t="s">
        <v>9</v>
      </c>
    </row>
    <row r="1394" spans="1:9" s="42" customFormat="1" ht="13.5" customHeight="1" x14ac:dyDescent="0.2">
      <c r="A1394" s="335"/>
      <c r="B1394" s="458"/>
      <c r="C1394" s="337"/>
      <c r="D1394" s="338"/>
      <c r="E1394" s="338"/>
      <c r="F1394" s="339"/>
      <c r="G1394" s="338"/>
      <c r="H1394" s="340"/>
      <c r="I1394" s="341"/>
    </row>
    <row r="1395" spans="1:9" s="42" customFormat="1" ht="13.5" customHeight="1" x14ac:dyDescent="0.2">
      <c r="A1395" s="335"/>
      <c r="B1395" s="536" t="s">
        <v>450</v>
      </c>
      <c r="C1395" s="623">
        <v>1</v>
      </c>
      <c r="D1395" s="459">
        <f>45.65+45.65+7.6+7.6</f>
        <v>106.49999999999999</v>
      </c>
      <c r="E1395" s="459"/>
      <c r="F1395" s="436"/>
      <c r="G1395" s="338">
        <f>PRODUCT(D1395:F1395)</f>
        <v>106.49999999999999</v>
      </c>
      <c r="H1395" s="340">
        <f>C1395*G1395</f>
        <v>106.49999999999999</v>
      </c>
      <c r="I1395" s="341" t="s">
        <v>9</v>
      </c>
    </row>
    <row r="1396" spans="1:9" s="42" customFormat="1" ht="13.5" customHeight="1" x14ac:dyDescent="0.2">
      <c r="A1396" s="335"/>
      <c r="B1396" s="540"/>
      <c r="C1396" s="623">
        <v>3</v>
      </c>
      <c r="D1396" s="459">
        <f>34.72+34.72+7.6+7.6</f>
        <v>84.639999999999986</v>
      </c>
      <c r="E1396" s="459"/>
      <c r="F1396" s="436"/>
      <c r="G1396" s="338">
        <f t="shared" ref="G1396:G1399" si="88">PRODUCT(D1396:F1396)</f>
        <v>84.639999999999986</v>
      </c>
      <c r="H1396" s="340">
        <f t="shared" ref="H1396:H1399" si="89">C1396*G1396</f>
        <v>253.91999999999996</v>
      </c>
      <c r="I1396" s="341" t="s">
        <v>9</v>
      </c>
    </row>
    <row r="1397" spans="1:9" s="42" customFormat="1" ht="13.5" customHeight="1" x14ac:dyDescent="0.2">
      <c r="A1397" s="335"/>
      <c r="B1397" s="536" t="s">
        <v>457</v>
      </c>
      <c r="C1397" s="623">
        <v>2</v>
      </c>
      <c r="D1397" s="459">
        <f>7.92+7.92+4.6+4.6</f>
        <v>25.04</v>
      </c>
      <c r="E1397" s="459"/>
      <c r="F1397" s="436"/>
      <c r="G1397" s="338">
        <f t="shared" si="88"/>
        <v>25.04</v>
      </c>
      <c r="H1397" s="340">
        <f t="shared" si="89"/>
        <v>50.08</v>
      </c>
      <c r="I1397" s="341" t="s">
        <v>9</v>
      </c>
    </row>
    <row r="1398" spans="1:9" s="42" customFormat="1" ht="13.5" customHeight="1" x14ac:dyDescent="0.2">
      <c r="A1398" s="335"/>
      <c r="B1398" s="536" t="s">
        <v>453</v>
      </c>
      <c r="C1398" s="623">
        <v>4</v>
      </c>
      <c r="D1398" s="459">
        <f>28+28+14.6+14.6</f>
        <v>85.199999999999989</v>
      </c>
      <c r="E1398" s="459"/>
      <c r="F1398" s="436"/>
      <c r="G1398" s="338">
        <f t="shared" si="88"/>
        <v>85.199999999999989</v>
      </c>
      <c r="H1398" s="340">
        <f t="shared" si="89"/>
        <v>340.79999999999995</v>
      </c>
      <c r="I1398" s="341" t="s">
        <v>9</v>
      </c>
    </row>
    <row r="1399" spans="1:9" s="42" customFormat="1" ht="13.5" customHeight="1" x14ac:dyDescent="0.2">
      <c r="A1399" s="335"/>
      <c r="B1399" s="536" t="s">
        <v>457</v>
      </c>
      <c r="C1399" s="623">
        <v>2</v>
      </c>
      <c r="D1399" s="459">
        <f>7.92+7.92+4.6+4.6</f>
        <v>25.04</v>
      </c>
      <c r="E1399" s="459"/>
      <c r="F1399" s="436"/>
      <c r="G1399" s="338">
        <f t="shared" si="88"/>
        <v>25.04</v>
      </c>
      <c r="H1399" s="340">
        <f t="shared" si="89"/>
        <v>50.08</v>
      </c>
      <c r="I1399" s="341" t="s">
        <v>9</v>
      </c>
    </row>
    <row r="1400" spans="1:9" s="42" customFormat="1" ht="13.5" customHeight="1" thickBot="1" x14ac:dyDescent="0.25">
      <c r="A1400" s="335"/>
      <c r="B1400" s="342"/>
      <c r="C1400" s="623"/>
      <c r="D1400" s="460"/>
      <c r="E1400" s="460"/>
      <c r="F1400" s="436"/>
      <c r="G1400" s="338"/>
      <c r="H1400" s="340"/>
      <c r="I1400" s="341"/>
    </row>
    <row r="1401" spans="1:9" s="12" customFormat="1" ht="12.75" customHeight="1" thickBot="1" x14ac:dyDescent="0.25">
      <c r="A1401" s="408" t="s">
        <v>523</v>
      </c>
      <c r="B1401" s="520" t="s">
        <v>588</v>
      </c>
      <c r="C1401" s="521"/>
      <c r="D1401" s="521"/>
      <c r="E1401" s="521"/>
      <c r="F1401" s="521"/>
      <c r="G1401" s="522"/>
      <c r="H1401" s="410">
        <f>SUM(H1402:H1404)</f>
        <v>10.239999999999998</v>
      </c>
      <c r="I1401" s="444" t="s">
        <v>9</v>
      </c>
    </row>
    <row r="1402" spans="1:9" s="14" customFormat="1" ht="13.5" customHeight="1" x14ac:dyDescent="0.2">
      <c r="A1402" s="461"/>
      <c r="B1402" s="538" t="s">
        <v>529</v>
      </c>
      <c r="C1402" s="624"/>
      <c r="D1402" s="463"/>
      <c r="E1402" s="463"/>
      <c r="F1402" s="436"/>
      <c r="G1402" s="338"/>
      <c r="H1402" s="464"/>
      <c r="I1402" s="465"/>
    </row>
    <row r="1403" spans="1:9" s="14" customFormat="1" ht="13.5" customHeight="1" x14ac:dyDescent="0.2">
      <c r="A1403" s="461"/>
      <c r="B1403" s="539" t="s">
        <v>530</v>
      </c>
      <c r="C1403" s="466">
        <v>4</v>
      </c>
      <c r="D1403" s="466">
        <v>2.2599999999999998</v>
      </c>
      <c r="E1403" s="344"/>
      <c r="F1403" s="436"/>
      <c r="G1403" s="338">
        <f>D1403</f>
        <v>2.2599999999999998</v>
      </c>
      <c r="H1403" s="464">
        <f>C1403*G1403</f>
        <v>9.0399999999999991</v>
      </c>
      <c r="I1403" s="465" t="s">
        <v>9</v>
      </c>
    </row>
    <row r="1404" spans="1:9" s="14" customFormat="1" ht="13.5" customHeight="1" x14ac:dyDescent="0.2">
      <c r="A1404" s="461"/>
      <c r="B1404" s="462"/>
      <c r="C1404" s="466">
        <v>4</v>
      </c>
      <c r="D1404" s="466">
        <v>0.3</v>
      </c>
      <c r="E1404" s="344"/>
      <c r="F1404" s="436"/>
      <c r="G1404" s="338">
        <f>D1404</f>
        <v>0.3</v>
      </c>
      <c r="H1404" s="464">
        <f>C1404*G1404</f>
        <v>1.2</v>
      </c>
      <c r="I1404" s="465" t="s">
        <v>9</v>
      </c>
    </row>
    <row r="1405" spans="1:9" s="14" customFormat="1" ht="13.5" customHeight="1" thickBot="1" x14ac:dyDescent="0.25">
      <c r="A1405" s="461"/>
      <c r="B1405" s="462"/>
      <c r="C1405" s="624"/>
      <c r="D1405" s="463"/>
      <c r="E1405" s="463"/>
      <c r="F1405" s="436"/>
      <c r="G1405" s="338"/>
      <c r="H1405" s="464"/>
      <c r="I1405" s="465"/>
    </row>
    <row r="1406" spans="1:9" s="12" customFormat="1" ht="12.75" customHeight="1" thickBot="1" x14ac:dyDescent="0.25">
      <c r="A1406" s="408" t="s">
        <v>524</v>
      </c>
      <c r="B1406" s="520" t="s">
        <v>589</v>
      </c>
      <c r="C1406" s="521"/>
      <c r="D1406" s="521"/>
      <c r="E1406" s="521"/>
      <c r="F1406" s="521"/>
      <c r="G1406" s="522"/>
      <c r="H1406" s="410">
        <f>SUM(H1407:H1411)</f>
        <v>8.1919999999999984</v>
      </c>
      <c r="I1406" s="444" t="s">
        <v>2</v>
      </c>
    </row>
    <row r="1407" spans="1:9" s="14" customFormat="1" ht="13.5" customHeight="1" x14ac:dyDescent="0.2">
      <c r="A1407" s="461"/>
      <c r="B1407" s="462"/>
      <c r="C1407" s="553"/>
      <c r="D1407" s="467"/>
      <c r="E1407" s="467"/>
      <c r="F1407" s="436"/>
      <c r="G1407" s="344"/>
      <c r="H1407" s="468"/>
      <c r="I1407" s="625"/>
    </row>
    <row r="1408" spans="1:9" s="14" customFormat="1" ht="13.5" customHeight="1" x14ac:dyDescent="0.2">
      <c r="A1408" s="461"/>
      <c r="B1408" s="538" t="s">
        <v>590</v>
      </c>
      <c r="C1408" s="466">
        <v>8</v>
      </c>
      <c r="D1408" s="467">
        <v>2.2599999999999998</v>
      </c>
      <c r="E1408" s="467"/>
      <c r="F1408" s="436">
        <v>0.3</v>
      </c>
      <c r="G1408" s="344">
        <f>D1408*F1408</f>
        <v>0.67799999999999994</v>
      </c>
      <c r="H1408" s="468">
        <f>G1408*C1408</f>
        <v>5.4239999999999995</v>
      </c>
      <c r="I1408" s="625" t="s">
        <v>2</v>
      </c>
    </row>
    <row r="1409" spans="1:11" s="14" customFormat="1" ht="13.5" customHeight="1" x14ac:dyDescent="0.2">
      <c r="A1409" s="461"/>
      <c r="B1409" s="462"/>
      <c r="C1409" s="466">
        <v>4</v>
      </c>
      <c r="D1409" s="467">
        <v>2.2599999999999998</v>
      </c>
      <c r="E1409" s="467"/>
      <c r="F1409" s="436">
        <v>0.2</v>
      </c>
      <c r="G1409" s="344">
        <f t="shared" ref="G1409:G1411" si="90">D1409*F1409</f>
        <v>0.45199999999999996</v>
      </c>
      <c r="H1409" s="468">
        <f t="shared" ref="H1409:H1411" si="91">G1409*C1409</f>
        <v>1.8079999999999998</v>
      </c>
      <c r="I1409" s="625" t="s">
        <v>2</v>
      </c>
    </row>
    <row r="1410" spans="1:11" s="14" customFormat="1" ht="13.5" customHeight="1" x14ac:dyDescent="0.2">
      <c r="A1410" s="461"/>
      <c r="B1410" s="462"/>
      <c r="C1410" s="466">
        <v>8</v>
      </c>
      <c r="D1410" s="467">
        <v>0.3</v>
      </c>
      <c r="E1410" s="467"/>
      <c r="F1410" s="436">
        <v>0.3</v>
      </c>
      <c r="G1410" s="344">
        <f t="shared" si="90"/>
        <v>0.09</v>
      </c>
      <c r="H1410" s="468">
        <f t="shared" si="91"/>
        <v>0.72</v>
      </c>
      <c r="I1410" s="625" t="s">
        <v>2</v>
      </c>
    </row>
    <row r="1411" spans="1:11" s="14" customFormat="1" ht="13.5" customHeight="1" x14ac:dyDescent="0.2">
      <c r="A1411" s="461"/>
      <c r="B1411" s="462"/>
      <c r="C1411" s="466">
        <v>4</v>
      </c>
      <c r="D1411" s="467">
        <v>0.3</v>
      </c>
      <c r="E1411" s="467"/>
      <c r="F1411" s="436">
        <v>0.2</v>
      </c>
      <c r="G1411" s="344">
        <f t="shared" si="90"/>
        <v>0.06</v>
      </c>
      <c r="H1411" s="468">
        <f t="shared" si="91"/>
        <v>0.24</v>
      </c>
      <c r="I1411" s="625" t="s">
        <v>2</v>
      </c>
    </row>
    <row r="1412" spans="1:11" s="14" customFormat="1" ht="13.5" customHeight="1" thickBot="1" x14ac:dyDescent="0.25">
      <c r="A1412" s="461"/>
      <c r="B1412" s="462"/>
      <c r="C1412" s="554"/>
      <c r="D1412" s="467"/>
      <c r="E1412" s="467"/>
      <c r="F1412" s="436"/>
      <c r="G1412" s="344"/>
      <c r="H1412" s="468"/>
      <c r="I1412" s="625"/>
    </row>
    <row r="1413" spans="1:11" s="12" customFormat="1" ht="12.75" customHeight="1" thickBot="1" x14ac:dyDescent="0.25">
      <c r="A1413" s="408" t="s">
        <v>525</v>
      </c>
      <c r="B1413" s="520" t="s">
        <v>759</v>
      </c>
      <c r="C1413" s="521"/>
      <c r="D1413" s="521"/>
      <c r="E1413" s="521"/>
      <c r="F1413" s="521"/>
      <c r="G1413" s="522"/>
      <c r="H1413" s="410">
        <f>SUM(H1414:H1417)</f>
        <v>3096.9466000000016</v>
      </c>
      <c r="I1413" s="444" t="s">
        <v>2</v>
      </c>
    </row>
    <row r="1414" spans="1:11" s="14" customFormat="1" ht="13.5" customHeight="1" x14ac:dyDescent="0.2">
      <c r="A1414" s="461"/>
      <c r="B1414" s="462"/>
      <c r="C1414" s="553"/>
      <c r="D1414" s="467"/>
      <c r="E1414" s="467"/>
      <c r="F1414" s="436"/>
      <c r="G1414" s="344"/>
      <c r="H1414" s="468"/>
      <c r="I1414" s="625"/>
    </row>
    <row r="1415" spans="1:11" s="14" customFormat="1" ht="13.5" customHeight="1" x14ac:dyDescent="0.2">
      <c r="A1415" s="461"/>
      <c r="B1415" s="538" t="s">
        <v>591</v>
      </c>
      <c r="C1415" s="466">
        <v>1</v>
      </c>
      <c r="D1415" s="467"/>
      <c r="E1415" s="467"/>
      <c r="F1415" s="436"/>
      <c r="G1415" s="344">
        <f>H1203</f>
        <v>2742.5498000000016</v>
      </c>
      <c r="H1415" s="468">
        <f>C1415*G1415</f>
        <v>2742.5498000000016</v>
      </c>
      <c r="I1415" s="625" t="s">
        <v>2</v>
      </c>
    </row>
    <row r="1416" spans="1:11" s="14" customFormat="1" ht="13.5" customHeight="1" x14ac:dyDescent="0.2">
      <c r="A1416" s="461"/>
      <c r="B1416" s="538" t="s">
        <v>785</v>
      </c>
      <c r="C1416" s="466">
        <v>1</v>
      </c>
      <c r="D1416" s="467"/>
      <c r="E1416" s="467"/>
      <c r="F1416" s="436"/>
      <c r="G1416" s="344">
        <f>H1274</f>
        <v>346.20479999999998</v>
      </c>
      <c r="H1416" s="468">
        <f>C1416*G1416</f>
        <v>346.20479999999998</v>
      </c>
      <c r="I1416" s="625" t="s">
        <v>2</v>
      </c>
    </row>
    <row r="1417" spans="1:11" s="14" customFormat="1" ht="13.5" customHeight="1" x14ac:dyDescent="0.2">
      <c r="A1417" s="461"/>
      <c r="B1417" s="538" t="s">
        <v>592</v>
      </c>
      <c r="C1417" s="466">
        <v>1</v>
      </c>
      <c r="D1417" s="467"/>
      <c r="E1417" s="467"/>
      <c r="F1417" s="436"/>
      <c r="G1417" s="344">
        <f>H1406</f>
        <v>8.1919999999999984</v>
      </c>
      <c r="H1417" s="468">
        <f>C1417*G1417</f>
        <v>8.1919999999999984</v>
      </c>
      <c r="I1417" s="625" t="s">
        <v>2</v>
      </c>
    </row>
    <row r="1418" spans="1:11" s="14" customFormat="1" ht="13.5" customHeight="1" thickBot="1" x14ac:dyDescent="0.25">
      <c r="A1418" s="461"/>
      <c r="B1418" s="462"/>
      <c r="C1418" s="554"/>
      <c r="D1418" s="467"/>
      <c r="E1418" s="467"/>
      <c r="F1418" s="436"/>
      <c r="G1418" s="344"/>
      <c r="H1418" s="468"/>
      <c r="I1418" s="625"/>
    </row>
    <row r="1419" spans="1:11" s="12" customFormat="1" ht="12.75" customHeight="1" thickBot="1" x14ac:dyDescent="0.25">
      <c r="A1419" s="408" t="s">
        <v>526</v>
      </c>
      <c r="B1419" s="520" t="s">
        <v>763</v>
      </c>
      <c r="C1419" s="521"/>
      <c r="D1419" s="521"/>
      <c r="E1419" s="521"/>
      <c r="F1419" s="521"/>
      <c r="G1419" s="522"/>
      <c r="H1419" s="410">
        <f>SUM(H1420:H1421)</f>
        <v>537</v>
      </c>
      <c r="I1419" s="444" t="s">
        <v>2</v>
      </c>
    </row>
    <row r="1420" spans="1:11" s="42" customFormat="1" ht="13.5" customHeight="1" x14ac:dyDescent="0.2">
      <c r="A1420" s="335"/>
      <c r="B1420" s="458"/>
      <c r="C1420" s="337"/>
      <c r="D1420" s="338"/>
      <c r="E1420" s="338"/>
      <c r="F1420" s="339"/>
      <c r="G1420" s="338"/>
      <c r="H1420" s="340"/>
      <c r="I1420" s="341"/>
    </row>
    <row r="1421" spans="1:11" s="42" customFormat="1" ht="13.5" customHeight="1" x14ac:dyDescent="0.2">
      <c r="A1421" s="335"/>
      <c r="B1421" s="536" t="s">
        <v>465</v>
      </c>
      <c r="C1421" s="337">
        <v>1</v>
      </c>
      <c r="D1421" s="338">
        <v>30</v>
      </c>
      <c r="E1421" s="338">
        <v>17.899999999999999</v>
      </c>
      <c r="F1421" s="339"/>
      <c r="G1421" s="338">
        <f>E1421*D1421</f>
        <v>537</v>
      </c>
      <c r="H1421" s="340">
        <f>G1421*C1421</f>
        <v>537</v>
      </c>
      <c r="I1421" s="341" t="s">
        <v>2</v>
      </c>
    </row>
    <row r="1422" spans="1:11" s="42" customFormat="1" ht="13.5" customHeight="1" thickBot="1" x14ac:dyDescent="0.25">
      <c r="A1422" s="335"/>
      <c r="B1422" s="342"/>
      <c r="C1422" s="623"/>
      <c r="D1422" s="460"/>
      <c r="E1422" s="460"/>
      <c r="F1422" s="436"/>
      <c r="G1422" s="338"/>
      <c r="H1422" s="340"/>
      <c r="I1422" s="341"/>
    </row>
    <row r="1423" spans="1:11" s="12" customFormat="1" ht="12.75" customHeight="1" thickBot="1" x14ac:dyDescent="0.25">
      <c r="A1423" s="408" t="s">
        <v>531</v>
      </c>
      <c r="B1423" s="520" t="s">
        <v>764</v>
      </c>
      <c r="C1423" s="521"/>
      <c r="D1423" s="521"/>
      <c r="E1423" s="521"/>
      <c r="F1423" s="521"/>
      <c r="G1423" s="522"/>
      <c r="H1423" s="410">
        <f>SUM(H1424:H1426)</f>
        <v>1072.1399999999999</v>
      </c>
      <c r="I1423" s="444" t="s">
        <v>466</v>
      </c>
    </row>
    <row r="1424" spans="1:11" s="42" customFormat="1" ht="13.5" customHeight="1" x14ac:dyDescent="0.2">
      <c r="A1424" s="335"/>
      <c r="B1424" s="458"/>
      <c r="C1424" s="337"/>
      <c r="D1424" s="338"/>
      <c r="E1424" s="338"/>
      <c r="F1424" s="339"/>
      <c r="G1424" s="338"/>
      <c r="H1424" s="340"/>
      <c r="I1424" s="341"/>
      <c r="K1424" s="66"/>
    </row>
    <row r="1425" spans="1:11" s="42" customFormat="1" ht="13.5" customHeight="1" x14ac:dyDescent="0.2">
      <c r="A1425" s="335"/>
      <c r="B1425" s="536" t="s">
        <v>465</v>
      </c>
      <c r="C1425" s="337">
        <v>72</v>
      </c>
      <c r="D1425" s="338">
        <v>29.88</v>
      </c>
      <c r="E1425" s="338"/>
      <c r="F1425" s="339">
        <v>0.25</v>
      </c>
      <c r="G1425" s="338">
        <f>F1425*D1425</f>
        <v>7.47</v>
      </c>
      <c r="H1425" s="340">
        <f>G1425*C1425</f>
        <v>537.84</v>
      </c>
      <c r="I1425" s="341" t="s">
        <v>466</v>
      </c>
    </row>
    <row r="1426" spans="1:11" s="42" customFormat="1" ht="13.5" customHeight="1" x14ac:dyDescent="0.2">
      <c r="A1426" s="335"/>
      <c r="B1426" s="342"/>
      <c r="C1426" s="337">
        <v>120</v>
      </c>
      <c r="D1426" s="338">
        <v>17.809999999999999</v>
      </c>
      <c r="E1426" s="338"/>
      <c r="F1426" s="339">
        <v>0.25</v>
      </c>
      <c r="G1426" s="338">
        <f>F1426*D1426</f>
        <v>4.4524999999999997</v>
      </c>
      <c r="H1426" s="340">
        <f>G1426*C1426</f>
        <v>534.29999999999995</v>
      </c>
      <c r="I1426" s="341" t="s">
        <v>466</v>
      </c>
    </row>
    <row r="1427" spans="1:11" s="42" customFormat="1" ht="13.5" customHeight="1" thickBot="1" x14ac:dyDescent="0.25">
      <c r="A1427" s="335"/>
      <c r="B1427" s="342"/>
      <c r="C1427" s="469"/>
      <c r="D1427" s="338"/>
      <c r="E1427" s="338"/>
      <c r="F1427" s="436"/>
      <c r="G1427" s="338"/>
      <c r="H1427" s="340"/>
      <c r="I1427" s="341"/>
    </row>
    <row r="1428" spans="1:11" s="12" customFormat="1" ht="12.75" customHeight="1" thickBot="1" x14ac:dyDescent="0.25">
      <c r="A1428" s="408" t="s">
        <v>593</v>
      </c>
      <c r="B1428" s="520" t="s">
        <v>765</v>
      </c>
      <c r="C1428" s="521"/>
      <c r="D1428" s="521"/>
      <c r="E1428" s="521"/>
      <c r="F1428" s="521"/>
      <c r="G1428" s="522"/>
      <c r="H1428" s="410">
        <f>SUM(H1429:H1431)</f>
        <v>4</v>
      </c>
      <c r="I1428" s="444" t="s">
        <v>8</v>
      </c>
    </row>
    <row r="1429" spans="1:11" s="42" customFormat="1" ht="13.5" customHeight="1" x14ac:dyDescent="0.2">
      <c r="A1429" s="335"/>
      <c r="B1429" s="458"/>
      <c r="C1429" s="337"/>
      <c r="D1429" s="338"/>
      <c r="E1429" s="338"/>
      <c r="F1429" s="339"/>
      <c r="G1429" s="338"/>
      <c r="H1429" s="340"/>
      <c r="I1429" s="341"/>
    </row>
    <row r="1430" spans="1:11" s="42" customFormat="1" ht="13.5" customHeight="1" x14ac:dyDescent="0.2">
      <c r="A1430" s="335"/>
      <c r="B1430" s="536" t="s">
        <v>471</v>
      </c>
      <c r="C1430" s="337">
        <v>2</v>
      </c>
      <c r="D1430" s="338"/>
      <c r="E1430" s="338"/>
      <c r="F1430" s="339"/>
      <c r="G1430" s="338">
        <v>1</v>
      </c>
      <c r="H1430" s="340">
        <f>G1430*C1430</f>
        <v>2</v>
      </c>
      <c r="I1430" s="341" t="s">
        <v>8</v>
      </c>
    </row>
    <row r="1431" spans="1:11" s="42" customFormat="1" ht="13.5" customHeight="1" x14ac:dyDescent="0.2">
      <c r="A1431" s="335"/>
      <c r="B1431" s="537" t="s">
        <v>472</v>
      </c>
      <c r="C1431" s="337">
        <v>2</v>
      </c>
      <c r="D1431" s="338"/>
      <c r="E1431" s="338"/>
      <c r="F1431" s="339"/>
      <c r="G1431" s="338">
        <v>1</v>
      </c>
      <c r="H1431" s="340">
        <f>G1431*C1431</f>
        <v>2</v>
      </c>
      <c r="I1431" s="341" t="s">
        <v>8</v>
      </c>
    </row>
    <row r="1432" spans="1:11" s="42" customFormat="1" ht="13.5" customHeight="1" thickBot="1" x14ac:dyDescent="0.25">
      <c r="A1432" s="335"/>
      <c r="B1432" s="458"/>
      <c r="C1432" s="623"/>
      <c r="D1432" s="460"/>
      <c r="E1432" s="460"/>
      <c r="F1432" s="436"/>
      <c r="G1432" s="338"/>
      <c r="H1432" s="340"/>
      <c r="I1432" s="341"/>
    </row>
    <row r="1433" spans="1:11" s="12" customFormat="1" ht="12.75" customHeight="1" thickBot="1" x14ac:dyDescent="0.25">
      <c r="A1433" s="408" t="s">
        <v>594</v>
      </c>
      <c r="B1433" s="520" t="s">
        <v>766</v>
      </c>
      <c r="C1433" s="521"/>
      <c r="D1433" s="521"/>
      <c r="E1433" s="521"/>
      <c r="F1433" s="521"/>
      <c r="G1433" s="522"/>
      <c r="H1433" s="410">
        <f>SUM(H1434:H1436)</f>
        <v>5941.1103690000009</v>
      </c>
      <c r="I1433" s="444" t="s">
        <v>1</v>
      </c>
    </row>
    <row r="1434" spans="1:11" s="10" customFormat="1" ht="13.5" customHeight="1" x14ac:dyDescent="0.2">
      <c r="A1434" s="316"/>
      <c r="B1434" s="533" t="s">
        <v>767</v>
      </c>
      <c r="C1434" s="719" t="s">
        <v>52</v>
      </c>
      <c r="D1434" s="720"/>
      <c r="E1434" s="471">
        <f>H1194</f>
        <v>784.101</v>
      </c>
      <c r="F1434" s="472">
        <v>1.25</v>
      </c>
      <c r="G1434" s="473" t="s">
        <v>25</v>
      </c>
      <c r="H1434" s="474">
        <f>E1434*F1434</f>
        <v>980.12625000000003</v>
      </c>
      <c r="I1434" s="475" t="s">
        <v>1</v>
      </c>
      <c r="K1434" s="20"/>
    </row>
    <row r="1435" spans="1:11" s="10" customFormat="1" ht="13.5" customHeight="1" x14ac:dyDescent="0.2">
      <c r="A1435" s="316"/>
      <c r="B1435" s="533" t="s">
        <v>767</v>
      </c>
      <c r="C1435" s="719"/>
      <c r="D1435" s="720"/>
      <c r="E1435" s="471"/>
      <c r="F1435" s="472"/>
      <c r="G1435" s="473"/>
      <c r="H1435" s="474"/>
      <c r="I1435" s="475"/>
      <c r="K1435" s="20"/>
    </row>
    <row r="1436" spans="1:11" s="10" customFormat="1" ht="13.5" customHeight="1" thickBot="1" x14ac:dyDescent="0.25">
      <c r="A1436" s="318"/>
      <c r="B1436" s="534" t="s">
        <v>767</v>
      </c>
      <c r="C1436" s="734" t="s">
        <v>51</v>
      </c>
      <c r="D1436" s="734"/>
      <c r="E1436" s="476">
        <f>H426+H871</f>
        <v>3816.1416300000005</v>
      </c>
      <c r="F1436" s="477">
        <v>1.3</v>
      </c>
      <c r="G1436" s="478" t="s">
        <v>25</v>
      </c>
      <c r="H1436" s="479">
        <f>E1436*F1436</f>
        <v>4960.9841190000006</v>
      </c>
      <c r="I1436" s="480" t="s">
        <v>1</v>
      </c>
    </row>
    <row r="1437" spans="1:11" ht="13.5" thickBot="1" x14ac:dyDescent="0.25">
      <c r="A1437" s="380"/>
      <c r="B1437" s="368"/>
      <c r="C1437" s="368"/>
      <c r="D1437" s="368"/>
      <c r="E1437" s="368"/>
      <c r="F1437" s="381"/>
      <c r="G1437" s="381"/>
      <c r="H1437" s="368"/>
      <c r="I1437" s="370"/>
      <c r="J1437" s="10"/>
    </row>
    <row r="1438" spans="1:11" ht="13.5" thickBot="1" x14ac:dyDescent="0.25">
      <c r="A1438" s="408">
        <v>1.05</v>
      </c>
      <c r="B1438" s="409" t="s">
        <v>768</v>
      </c>
      <c r="C1438" s="409"/>
      <c r="D1438" s="409"/>
      <c r="E1438" s="409"/>
      <c r="F1438" s="409"/>
      <c r="G1438" s="409"/>
      <c r="H1438" s="409"/>
      <c r="I1438" s="626"/>
      <c r="J1438" s="10"/>
    </row>
    <row r="1439" spans="1:11" ht="13.5" thickBot="1" x14ac:dyDescent="0.25">
      <c r="A1439" s="481"/>
      <c r="B1439" s="482"/>
      <c r="C1439" s="483"/>
      <c r="D1439" s="484"/>
      <c r="E1439" s="485"/>
      <c r="F1439" s="486"/>
      <c r="G1439" s="485"/>
      <c r="H1439" s="482"/>
      <c r="I1439" s="487"/>
      <c r="J1439" s="10"/>
    </row>
    <row r="1440" spans="1:11" ht="13.5" thickBot="1" x14ac:dyDescent="0.25">
      <c r="A1440" s="408" t="s">
        <v>54</v>
      </c>
      <c r="B1440" s="409" t="s">
        <v>501</v>
      </c>
      <c r="C1440" s="409"/>
      <c r="D1440" s="409"/>
      <c r="E1440" s="409"/>
      <c r="F1440" s="409"/>
      <c r="G1440" s="409"/>
      <c r="H1440" s="409"/>
      <c r="I1440" s="626"/>
      <c r="J1440" s="10"/>
    </row>
    <row r="1441" spans="1:10" ht="13.5" thickBot="1" x14ac:dyDescent="0.25">
      <c r="A1441" s="481"/>
      <c r="B1441" s="488"/>
      <c r="C1441" s="489"/>
      <c r="D1441" s="486"/>
      <c r="E1441" s="490"/>
      <c r="F1441" s="486"/>
      <c r="G1441" s="490"/>
      <c r="H1441" s="488"/>
      <c r="I1441" s="491"/>
      <c r="J1441" s="10"/>
    </row>
    <row r="1442" spans="1:10" ht="13.5" thickBot="1" x14ac:dyDescent="0.25">
      <c r="A1442" s="408" t="s">
        <v>527</v>
      </c>
      <c r="B1442" s="409" t="s">
        <v>769</v>
      </c>
      <c r="C1442" s="409"/>
      <c r="D1442" s="409"/>
      <c r="E1442" s="409"/>
      <c r="F1442" s="409"/>
      <c r="G1442" s="409"/>
      <c r="H1442" s="470">
        <f>SUM(H1443:H1448)</f>
        <v>120</v>
      </c>
      <c r="I1442" s="444" t="s">
        <v>8</v>
      </c>
      <c r="J1442" s="10"/>
    </row>
    <row r="1443" spans="1:10" x14ac:dyDescent="0.2">
      <c r="A1443" s="492"/>
      <c r="B1443" s="532" t="s">
        <v>770</v>
      </c>
      <c r="C1443" s="493"/>
      <c r="D1443" s="494"/>
      <c r="E1443" s="495"/>
      <c r="F1443" s="496"/>
      <c r="G1443" s="495"/>
      <c r="H1443" s="497"/>
      <c r="I1443" s="498"/>
    </row>
    <row r="1444" spans="1:10" x14ac:dyDescent="0.2">
      <c r="A1444" s="492"/>
      <c r="B1444" s="531" t="s">
        <v>504</v>
      </c>
      <c r="C1444" s="493">
        <f>22+38</f>
        <v>60</v>
      </c>
      <c r="D1444" s="494"/>
      <c r="E1444" s="495"/>
      <c r="F1444" s="496"/>
      <c r="G1444" s="495">
        <f>C1444</f>
        <v>60</v>
      </c>
      <c r="H1444" s="497">
        <f>G1444</f>
        <v>60</v>
      </c>
      <c r="I1444" s="498" t="s">
        <v>8</v>
      </c>
    </row>
    <row r="1445" spans="1:10" x14ac:dyDescent="0.2">
      <c r="A1445" s="492"/>
      <c r="B1445" s="531" t="s">
        <v>505</v>
      </c>
      <c r="C1445" s="493">
        <f>24+32</f>
        <v>56</v>
      </c>
      <c r="D1445" s="494"/>
      <c r="E1445" s="495"/>
      <c r="F1445" s="496"/>
      <c r="G1445" s="495">
        <f>C1445</f>
        <v>56</v>
      </c>
      <c r="H1445" s="497">
        <f>G1445</f>
        <v>56</v>
      </c>
      <c r="I1445" s="498" t="s">
        <v>8</v>
      </c>
    </row>
    <row r="1446" spans="1:10" x14ac:dyDescent="0.2">
      <c r="A1446" s="492"/>
      <c r="B1446" s="532" t="s">
        <v>502</v>
      </c>
      <c r="C1446" s="493"/>
      <c r="D1446" s="494"/>
      <c r="E1446" s="495"/>
      <c r="F1446" s="496"/>
      <c r="G1446" s="495"/>
      <c r="H1446" s="497"/>
      <c r="I1446" s="498"/>
    </row>
    <row r="1447" spans="1:10" x14ac:dyDescent="0.2">
      <c r="A1447" s="492"/>
      <c r="B1447" s="531" t="s">
        <v>504</v>
      </c>
      <c r="C1447" s="493">
        <v>2</v>
      </c>
      <c r="D1447" s="494"/>
      <c r="E1447" s="495"/>
      <c r="F1447" s="496"/>
      <c r="G1447" s="495">
        <f>C1447</f>
        <v>2</v>
      </c>
      <c r="H1447" s="497">
        <f>G1447</f>
        <v>2</v>
      </c>
      <c r="I1447" s="498" t="s">
        <v>8</v>
      </c>
    </row>
    <row r="1448" spans="1:10" x14ac:dyDescent="0.2">
      <c r="A1448" s="492"/>
      <c r="B1448" s="531" t="s">
        <v>505</v>
      </c>
      <c r="C1448" s="493">
        <v>2</v>
      </c>
      <c r="D1448" s="494"/>
      <c r="E1448" s="495"/>
      <c r="F1448" s="496"/>
      <c r="G1448" s="495">
        <f>C1448</f>
        <v>2</v>
      </c>
      <c r="H1448" s="497">
        <f>G1448</f>
        <v>2</v>
      </c>
      <c r="I1448" s="498" t="s">
        <v>8</v>
      </c>
    </row>
    <row r="1449" spans="1:10" ht="13.5" thickBot="1" x14ac:dyDescent="0.25">
      <c r="A1449" s="492"/>
      <c r="B1449" s="500"/>
      <c r="C1449" s="501"/>
      <c r="D1449" s="502"/>
      <c r="E1449" s="503"/>
      <c r="F1449" s="504"/>
      <c r="G1449" s="503"/>
      <c r="H1449" s="500"/>
      <c r="I1449" s="498"/>
    </row>
    <row r="1450" spans="1:10" ht="13.5" thickBot="1" x14ac:dyDescent="0.25">
      <c r="A1450" s="408" t="s">
        <v>528</v>
      </c>
      <c r="B1450" s="409" t="s">
        <v>771</v>
      </c>
      <c r="C1450" s="409"/>
      <c r="D1450" s="409"/>
      <c r="E1450" s="409"/>
      <c r="F1450" s="409"/>
      <c r="G1450" s="409"/>
      <c r="H1450" s="470">
        <f>SUM(H1451:H1453)</f>
        <v>4</v>
      </c>
      <c r="I1450" s="627" t="s">
        <v>8</v>
      </c>
    </row>
    <row r="1451" spans="1:10" x14ac:dyDescent="0.2">
      <c r="A1451" s="492"/>
      <c r="B1451" s="532" t="s">
        <v>503</v>
      </c>
      <c r="C1451" s="501"/>
      <c r="D1451" s="502"/>
      <c r="E1451" s="503"/>
      <c r="F1451" s="504"/>
      <c r="G1451" s="503"/>
      <c r="H1451" s="500"/>
      <c r="I1451" s="498"/>
    </row>
    <row r="1452" spans="1:10" x14ac:dyDescent="0.2">
      <c r="A1452" s="492"/>
      <c r="B1452" s="531" t="s">
        <v>504</v>
      </c>
      <c r="C1452" s="493">
        <v>2</v>
      </c>
      <c r="D1452" s="494"/>
      <c r="E1452" s="495"/>
      <c r="F1452" s="496"/>
      <c r="G1452" s="495">
        <f>C1452</f>
        <v>2</v>
      </c>
      <c r="H1452" s="497">
        <f>G1452</f>
        <v>2</v>
      </c>
      <c r="I1452" s="498" t="s">
        <v>8</v>
      </c>
    </row>
    <row r="1453" spans="1:10" x14ac:dyDescent="0.2">
      <c r="A1453" s="492"/>
      <c r="B1453" s="531" t="s">
        <v>505</v>
      </c>
      <c r="C1453" s="493">
        <v>2</v>
      </c>
      <c r="D1453" s="494"/>
      <c r="E1453" s="495"/>
      <c r="F1453" s="496"/>
      <c r="G1453" s="495">
        <f>C1453</f>
        <v>2</v>
      </c>
      <c r="H1453" s="497">
        <f>G1453</f>
        <v>2</v>
      </c>
      <c r="I1453" s="498" t="s">
        <v>8</v>
      </c>
    </row>
    <row r="1454" spans="1:10" ht="13.5" thickBot="1" x14ac:dyDescent="0.25">
      <c r="A1454" s="505"/>
      <c r="B1454" s="506"/>
      <c r="C1454" s="507"/>
      <c r="D1454" s="508"/>
      <c r="E1454" s="508"/>
      <c r="F1454" s="508"/>
      <c r="G1454" s="508"/>
      <c r="H1454" s="509"/>
      <c r="I1454" s="510"/>
    </row>
    <row r="1455" spans="1:10" ht="13.5" thickBot="1" x14ac:dyDescent="0.25">
      <c r="A1455" s="408" t="s">
        <v>55</v>
      </c>
      <c r="B1455" s="699" t="s">
        <v>776</v>
      </c>
      <c r="C1455" s="700"/>
      <c r="D1455" s="700"/>
      <c r="E1455" s="700"/>
      <c r="F1455" s="700"/>
      <c r="G1455" s="701"/>
      <c r="H1455" s="470">
        <f>SUM(H1456:H1458)</f>
        <v>4</v>
      </c>
      <c r="I1455" s="627" t="s">
        <v>8</v>
      </c>
    </row>
    <row r="1456" spans="1:10" x14ac:dyDescent="0.2">
      <c r="A1456" s="380"/>
      <c r="B1456" s="499"/>
      <c r="C1456" s="493"/>
      <c r="D1456" s="494"/>
      <c r="E1456" s="495"/>
      <c r="F1456" s="496"/>
      <c r="G1456" s="495"/>
      <c r="H1456" s="497"/>
      <c r="I1456" s="498"/>
    </row>
    <row r="1457" spans="1:10" x14ac:dyDescent="0.2">
      <c r="A1457" s="380"/>
      <c r="B1457" s="531" t="s">
        <v>504</v>
      </c>
      <c r="C1457" s="493">
        <v>2</v>
      </c>
      <c r="D1457" s="494"/>
      <c r="E1457" s="495"/>
      <c r="F1457" s="496"/>
      <c r="G1457" s="495">
        <f>C1457</f>
        <v>2</v>
      </c>
      <c r="H1457" s="497">
        <f>G1457</f>
        <v>2</v>
      </c>
      <c r="I1457" s="498" t="s">
        <v>8</v>
      </c>
    </row>
    <row r="1458" spans="1:10" x14ac:dyDescent="0.2">
      <c r="A1458" s="380"/>
      <c r="B1458" s="531" t="s">
        <v>505</v>
      </c>
      <c r="C1458" s="493">
        <v>2</v>
      </c>
      <c r="D1458" s="494"/>
      <c r="E1458" s="495"/>
      <c r="F1458" s="496"/>
      <c r="G1458" s="495">
        <f>C1458</f>
        <v>2</v>
      </c>
      <c r="H1458" s="497">
        <f>G1458</f>
        <v>2</v>
      </c>
      <c r="I1458" s="498" t="s">
        <v>8</v>
      </c>
    </row>
    <row r="1459" spans="1:10" ht="13.5" thickBot="1" x14ac:dyDescent="0.25">
      <c r="A1459" s="380"/>
      <c r="B1459" s="368"/>
      <c r="C1459" s="368"/>
      <c r="D1459" s="368"/>
      <c r="E1459" s="368"/>
      <c r="F1459" s="384"/>
      <c r="G1459" s="384"/>
      <c r="H1459" s="368"/>
      <c r="I1459" s="370"/>
    </row>
    <row r="1460" spans="1:10" ht="13.5" thickBot="1" x14ac:dyDescent="0.25">
      <c r="A1460" s="408">
        <v>1.06</v>
      </c>
      <c r="B1460" s="696" t="s">
        <v>778</v>
      </c>
      <c r="C1460" s="697"/>
      <c r="D1460" s="697"/>
      <c r="E1460" s="697"/>
      <c r="F1460" s="697"/>
      <c r="G1460" s="697"/>
      <c r="H1460" s="697"/>
      <c r="I1460" s="698"/>
      <c r="J1460" s="10"/>
    </row>
    <row r="1461" spans="1:10" ht="13.5" thickBot="1" x14ac:dyDescent="0.25">
      <c r="A1461" s="408" t="s">
        <v>620</v>
      </c>
      <c r="B1461" s="696" t="s">
        <v>533</v>
      </c>
      <c r="C1461" s="697"/>
      <c r="D1461" s="697"/>
      <c r="E1461" s="697"/>
      <c r="F1461" s="697"/>
      <c r="G1461" s="697"/>
      <c r="H1461" s="697"/>
      <c r="I1461" s="698"/>
      <c r="J1461" s="10"/>
    </row>
    <row r="1462" spans="1:10" ht="13.5" thickBot="1" x14ac:dyDescent="0.25">
      <c r="A1462" s="408" t="s">
        <v>621</v>
      </c>
      <c r="B1462" s="699" t="s">
        <v>696</v>
      </c>
      <c r="C1462" s="700"/>
      <c r="D1462" s="700"/>
      <c r="E1462" s="700"/>
      <c r="F1462" s="700"/>
      <c r="G1462" s="701"/>
      <c r="H1462" s="470">
        <f>SUM(H1463:H1466)</f>
        <v>32</v>
      </c>
      <c r="I1462" s="627" t="s">
        <v>8</v>
      </c>
      <c r="J1462" s="10"/>
    </row>
    <row r="1463" spans="1:10" x14ac:dyDescent="0.2">
      <c r="A1463" s="628"/>
      <c r="B1463" s="184"/>
      <c r="C1463" s="185"/>
      <c r="D1463" s="368"/>
      <c r="E1463" s="368"/>
      <c r="F1463" s="368"/>
      <c r="G1463" s="368"/>
      <c r="H1463" s="368"/>
      <c r="I1463" s="370"/>
    </row>
    <row r="1464" spans="1:10" x14ac:dyDescent="0.2">
      <c r="A1464" s="628"/>
      <c r="B1464" s="529" t="s">
        <v>597</v>
      </c>
      <c r="C1464" s="187">
        <v>16</v>
      </c>
      <c r="D1464" s="368"/>
      <c r="E1464" s="368"/>
      <c r="F1464" s="368"/>
      <c r="G1464" s="511">
        <f>C1464</f>
        <v>16</v>
      </c>
      <c r="H1464" s="511">
        <f>G1464</f>
        <v>16</v>
      </c>
      <c r="I1464" s="370" t="s">
        <v>8</v>
      </c>
    </row>
    <row r="1465" spans="1:10" x14ac:dyDescent="0.2">
      <c r="A1465" s="628"/>
      <c r="B1465" s="529" t="s">
        <v>598</v>
      </c>
      <c r="C1465" s="187">
        <v>16</v>
      </c>
      <c r="D1465" s="368"/>
      <c r="E1465" s="368"/>
      <c r="F1465" s="368"/>
      <c r="G1465" s="511">
        <f>C1465</f>
        <v>16</v>
      </c>
      <c r="H1465" s="511">
        <f>G1465</f>
        <v>16</v>
      </c>
      <c r="I1465" s="370" t="s">
        <v>8</v>
      </c>
    </row>
    <row r="1466" spans="1:10" ht="13.5" thickBot="1" x14ac:dyDescent="0.25">
      <c r="A1466" s="628"/>
      <c r="B1466" s="188"/>
      <c r="C1466" s="189"/>
      <c r="D1466" s="368"/>
      <c r="E1466" s="368"/>
      <c r="F1466" s="368"/>
      <c r="G1466" s="368"/>
      <c r="H1466" s="368"/>
      <c r="I1466" s="370"/>
    </row>
    <row r="1467" spans="1:10" ht="13.5" thickBot="1" x14ac:dyDescent="0.25">
      <c r="A1467" s="408" t="s">
        <v>622</v>
      </c>
      <c r="B1467" s="699" t="s">
        <v>730</v>
      </c>
      <c r="C1467" s="700"/>
      <c r="D1467" s="700"/>
      <c r="E1467" s="700"/>
      <c r="F1467" s="700"/>
      <c r="G1467" s="701"/>
      <c r="H1467" s="470">
        <f>SUM(H1468:H1471)</f>
        <v>32</v>
      </c>
      <c r="I1467" s="627" t="s">
        <v>8</v>
      </c>
      <c r="J1467" s="10"/>
    </row>
    <row r="1468" spans="1:10" x14ac:dyDescent="0.2">
      <c r="A1468" s="628"/>
      <c r="B1468" s="190"/>
      <c r="C1468" s="191"/>
      <c r="D1468" s="368"/>
      <c r="E1468" s="368"/>
      <c r="F1468" s="512"/>
      <c r="G1468" s="512"/>
      <c r="H1468" s="368"/>
      <c r="I1468" s="370"/>
    </row>
    <row r="1469" spans="1:10" x14ac:dyDescent="0.2">
      <c r="A1469" s="628"/>
      <c r="B1469" s="529" t="s">
        <v>597</v>
      </c>
      <c r="C1469" s="187">
        <v>16</v>
      </c>
      <c r="D1469" s="368"/>
      <c r="E1469" s="368"/>
      <c r="F1469" s="368"/>
      <c r="G1469" s="511">
        <f>C1469</f>
        <v>16</v>
      </c>
      <c r="H1469" s="511">
        <f>G1469</f>
        <v>16</v>
      </c>
      <c r="I1469" s="370" t="s">
        <v>8</v>
      </c>
    </row>
    <row r="1470" spans="1:10" x14ac:dyDescent="0.2">
      <c r="A1470" s="628"/>
      <c r="B1470" s="529" t="s">
        <v>598</v>
      </c>
      <c r="C1470" s="187">
        <v>16</v>
      </c>
      <c r="D1470" s="368"/>
      <c r="E1470" s="368"/>
      <c r="F1470" s="368"/>
      <c r="G1470" s="511">
        <f>C1470</f>
        <v>16</v>
      </c>
      <c r="H1470" s="511">
        <f>G1470</f>
        <v>16</v>
      </c>
      <c r="I1470" s="370" t="s">
        <v>8</v>
      </c>
    </row>
    <row r="1471" spans="1:10" ht="13.5" thickBot="1" x14ac:dyDescent="0.25">
      <c r="A1471" s="628"/>
      <c r="B1471" s="192"/>
      <c r="C1471" s="193"/>
      <c r="D1471" s="368"/>
      <c r="E1471" s="368"/>
      <c r="F1471" s="384"/>
      <c r="G1471" s="384"/>
      <c r="H1471" s="368"/>
      <c r="I1471" s="370"/>
    </row>
    <row r="1472" spans="1:10" ht="13.5" thickBot="1" x14ac:dyDescent="0.25">
      <c r="A1472" s="408" t="s">
        <v>623</v>
      </c>
      <c r="B1472" s="699" t="s">
        <v>731</v>
      </c>
      <c r="C1472" s="700"/>
      <c r="D1472" s="700"/>
      <c r="E1472" s="700"/>
      <c r="F1472" s="700"/>
      <c r="G1472" s="701"/>
      <c r="H1472" s="470">
        <f>SUM(H1473:H1476)</f>
        <v>40</v>
      </c>
      <c r="I1472" s="627" t="s">
        <v>8</v>
      </c>
      <c r="J1472" s="10"/>
    </row>
    <row r="1473" spans="1:10" x14ac:dyDescent="0.2">
      <c r="A1473" s="628"/>
      <c r="B1473" s="190"/>
      <c r="C1473" s="191"/>
      <c r="D1473" s="368"/>
      <c r="E1473" s="368"/>
      <c r="F1473" s="512"/>
      <c r="G1473" s="512"/>
      <c r="H1473" s="368"/>
      <c r="I1473" s="370"/>
    </row>
    <row r="1474" spans="1:10" x14ac:dyDescent="0.2">
      <c r="A1474" s="629"/>
      <c r="B1474" s="529" t="s">
        <v>599</v>
      </c>
      <c r="C1474" s="187">
        <v>32</v>
      </c>
      <c r="D1474" s="368"/>
      <c r="E1474" s="368"/>
      <c r="F1474" s="368"/>
      <c r="G1474" s="511">
        <f>C1474</f>
        <v>32</v>
      </c>
      <c r="H1474" s="511">
        <f>G1474</f>
        <v>32</v>
      </c>
      <c r="I1474" s="370" t="s">
        <v>8</v>
      </c>
    </row>
    <row r="1475" spans="1:10" x14ac:dyDescent="0.2">
      <c r="A1475" s="629"/>
      <c r="B1475" s="529" t="s">
        <v>600</v>
      </c>
      <c r="C1475" s="187">
        <v>4</v>
      </c>
      <c r="D1475" s="368"/>
      <c r="E1475" s="368"/>
      <c r="F1475" s="368"/>
      <c r="G1475" s="511">
        <f>C1475</f>
        <v>4</v>
      </c>
      <c r="H1475" s="511">
        <f>G1475</f>
        <v>4</v>
      </c>
      <c r="I1475" s="370" t="s">
        <v>8</v>
      </c>
    </row>
    <row r="1476" spans="1:10" x14ac:dyDescent="0.2">
      <c r="A1476" s="629"/>
      <c r="B1476" s="529" t="s">
        <v>601</v>
      </c>
      <c r="C1476" s="187">
        <v>4</v>
      </c>
      <c r="D1476" s="368"/>
      <c r="E1476" s="368"/>
      <c r="F1476" s="368"/>
      <c r="G1476" s="511">
        <f>C1476</f>
        <v>4</v>
      </c>
      <c r="H1476" s="511">
        <f>G1476</f>
        <v>4</v>
      </c>
      <c r="I1476" s="370" t="s">
        <v>8</v>
      </c>
    </row>
    <row r="1477" spans="1:10" ht="13.5" thickBot="1" x14ac:dyDescent="0.25">
      <c r="A1477" s="629"/>
      <c r="B1477" s="194"/>
      <c r="C1477" s="195"/>
      <c r="D1477" s="368"/>
      <c r="E1477" s="368"/>
      <c r="F1477" s="384"/>
      <c r="G1477" s="384"/>
      <c r="H1477" s="368"/>
      <c r="I1477" s="370"/>
    </row>
    <row r="1478" spans="1:10" ht="13.5" thickBot="1" x14ac:dyDescent="0.25">
      <c r="A1478" s="408" t="s">
        <v>624</v>
      </c>
      <c r="B1478" s="696" t="s">
        <v>539</v>
      </c>
      <c r="C1478" s="697"/>
      <c r="D1478" s="697"/>
      <c r="E1478" s="697"/>
      <c r="F1478" s="697"/>
      <c r="G1478" s="697"/>
      <c r="H1478" s="697"/>
      <c r="I1478" s="698"/>
      <c r="J1478" s="10"/>
    </row>
    <row r="1479" spans="1:10" ht="13.5" thickBot="1" x14ac:dyDescent="0.25">
      <c r="A1479" s="408" t="s">
        <v>625</v>
      </c>
      <c r="B1479" s="696" t="s">
        <v>602</v>
      </c>
      <c r="C1479" s="697"/>
      <c r="D1479" s="697"/>
      <c r="E1479" s="697"/>
      <c r="F1479" s="697"/>
      <c r="G1479" s="697"/>
      <c r="H1479" s="697"/>
      <c r="I1479" s="698"/>
      <c r="J1479" s="10"/>
    </row>
    <row r="1480" spans="1:10" ht="13.5" thickBot="1" x14ac:dyDescent="0.25">
      <c r="A1480" s="408" t="s">
        <v>630</v>
      </c>
      <c r="B1480" s="699" t="s">
        <v>701</v>
      </c>
      <c r="C1480" s="700"/>
      <c r="D1480" s="700"/>
      <c r="E1480" s="700"/>
      <c r="F1480" s="700"/>
      <c r="G1480" s="701"/>
      <c r="H1480" s="470">
        <f>SUM(H1481:H1484)</f>
        <v>40</v>
      </c>
      <c r="I1480" s="627" t="s">
        <v>557</v>
      </c>
      <c r="J1480" s="10"/>
    </row>
    <row r="1481" spans="1:10" x14ac:dyDescent="0.2">
      <c r="A1481" s="628"/>
      <c r="B1481" s="190"/>
      <c r="C1481" s="191"/>
      <c r="D1481" s="368"/>
      <c r="E1481" s="368"/>
      <c r="F1481" s="512"/>
      <c r="G1481" s="512"/>
      <c r="H1481" s="368"/>
      <c r="I1481" s="370"/>
    </row>
    <row r="1482" spans="1:10" x14ac:dyDescent="0.2">
      <c r="A1482" s="629"/>
      <c r="B1482" s="529" t="s">
        <v>599</v>
      </c>
      <c r="C1482" s="187">
        <v>32</v>
      </c>
      <c r="D1482" s="368"/>
      <c r="E1482" s="368"/>
      <c r="F1482" s="368"/>
      <c r="G1482" s="511">
        <f>C1482</f>
        <v>32</v>
      </c>
      <c r="H1482" s="511">
        <f>G1482</f>
        <v>32</v>
      </c>
      <c r="I1482" s="370" t="s">
        <v>557</v>
      </c>
    </row>
    <row r="1483" spans="1:10" x14ac:dyDescent="0.2">
      <c r="A1483" s="629"/>
      <c r="B1483" s="529" t="s">
        <v>600</v>
      </c>
      <c r="C1483" s="187">
        <v>4</v>
      </c>
      <c r="D1483" s="368"/>
      <c r="E1483" s="368"/>
      <c r="F1483" s="368"/>
      <c r="G1483" s="511">
        <f>C1483</f>
        <v>4</v>
      </c>
      <c r="H1483" s="511">
        <f>G1483</f>
        <v>4</v>
      </c>
      <c r="I1483" s="370" t="s">
        <v>557</v>
      </c>
    </row>
    <row r="1484" spans="1:10" x14ac:dyDescent="0.2">
      <c r="A1484" s="629"/>
      <c r="B1484" s="529" t="s">
        <v>601</v>
      </c>
      <c r="C1484" s="187">
        <v>4</v>
      </c>
      <c r="D1484" s="368"/>
      <c r="E1484" s="368"/>
      <c r="F1484" s="368"/>
      <c r="G1484" s="511">
        <f>C1484</f>
        <v>4</v>
      </c>
      <c r="H1484" s="511">
        <f>G1484</f>
        <v>4</v>
      </c>
      <c r="I1484" s="370" t="s">
        <v>557</v>
      </c>
    </row>
    <row r="1485" spans="1:10" ht="13.5" thickBot="1" x14ac:dyDescent="0.25">
      <c r="A1485" s="629"/>
      <c r="B1485" s="192"/>
      <c r="C1485" s="193"/>
      <c r="D1485" s="368"/>
      <c r="E1485" s="368"/>
      <c r="F1485" s="384"/>
      <c r="G1485" s="384"/>
      <c r="H1485" s="368"/>
      <c r="I1485" s="370"/>
    </row>
    <row r="1486" spans="1:10" ht="13.5" thickBot="1" x14ac:dyDescent="0.25">
      <c r="A1486" s="408" t="s">
        <v>626</v>
      </c>
      <c r="B1486" s="696" t="s">
        <v>540</v>
      </c>
      <c r="C1486" s="697"/>
      <c r="D1486" s="697"/>
      <c r="E1486" s="697"/>
      <c r="F1486" s="697"/>
      <c r="G1486" s="697"/>
      <c r="H1486" s="697"/>
      <c r="I1486" s="698"/>
      <c r="J1486" s="10"/>
    </row>
    <row r="1487" spans="1:10" ht="13.5" thickBot="1" x14ac:dyDescent="0.25">
      <c r="A1487" s="408" t="s">
        <v>627</v>
      </c>
      <c r="B1487" s="699" t="s">
        <v>702</v>
      </c>
      <c r="C1487" s="700"/>
      <c r="D1487" s="700"/>
      <c r="E1487" s="700"/>
      <c r="F1487" s="700"/>
      <c r="G1487" s="701"/>
      <c r="H1487" s="470">
        <f>SUM(H1488:H1491)</f>
        <v>124.47</v>
      </c>
      <c r="I1487" s="627" t="s">
        <v>9</v>
      </c>
      <c r="J1487" s="10"/>
    </row>
    <row r="1488" spans="1:10" ht="12.6" customHeight="1" x14ac:dyDescent="0.2">
      <c r="A1488" s="630"/>
      <c r="B1488" s="186"/>
      <c r="C1488" s="196"/>
      <c r="D1488" s="368"/>
      <c r="E1488" s="368"/>
      <c r="F1488" s="368"/>
      <c r="G1488" s="368"/>
      <c r="H1488" s="368"/>
      <c r="I1488" s="370"/>
    </row>
    <row r="1489" spans="1:10" ht="12.6" customHeight="1" x14ac:dyDescent="0.2">
      <c r="A1489" s="630"/>
      <c r="B1489" s="529" t="s">
        <v>597</v>
      </c>
      <c r="C1489" s="187">
        <v>1</v>
      </c>
      <c r="D1489" s="511">
        <v>63.28</v>
      </c>
      <c r="E1489" s="368"/>
      <c r="F1489" s="368"/>
      <c r="G1489" s="368">
        <f>PRODUCT(D1489:F1489)</f>
        <v>63.28</v>
      </c>
      <c r="H1489" s="368">
        <f>G1489*C1489</f>
        <v>63.28</v>
      </c>
      <c r="I1489" s="370" t="s">
        <v>9</v>
      </c>
    </row>
    <row r="1490" spans="1:10" ht="12.6" customHeight="1" x14ac:dyDescent="0.2">
      <c r="A1490" s="630"/>
      <c r="B1490" s="529" t="s">
        <v>598</v>
      </c>
      <c r="C1490" s="187">
        <v>1</v>
      </c>
      <c r="D1490" s="511">
        <v>61.19</v>
      </c>
      <c r="E1490" s="368"/>
      <c r="F1490" s="368"/>
      <c r="G1490" s="368">
        <f>PRODUCT(D1490:F1490)</f>
        <v>61.19</v>
      </c>
      <c r="H1490" s="368">
        <f>G1490*C1490</f>
        <v>61.19</v>
      </c>
      <c r="I1490" s="370" t="s">
        <v>9</v>
      </c>
    </row>
    <row r="1491" spans="1:10" ht="12.6" customHeight="1" thickBot="1" x14ac:dyDescent="0.25">
      <c r="A1491" s="630"/>
      <c r="B1491" s="188"/>
      <c r="C1491" s="189"/>
      <c r="D1491" s="368"/>
      <c r="E1491" s="368"/>
      <c r="F1491" s="368"/>
      <c r="G1491" s="368"/>
      <c r="H1491" s="368"/>
      <c r="I1491" s="370"/>
    </row>
    <row r="1492" spans="1:10" ht="13.5" thickBot="1" x14ac:dyDescent="0.25">
      <c r="A1492" s="408" t="s">
        <v>628</v>
      </c>
      <c r="B1492" s="696" t="s">
        <v>541</v>
      </c>
      <c r="C1492" s="697"/>
      <c r="D1492" s="697"/>
      <c r="E1492" s="697"/>
      <c r="F1492" s="697"/>
      <c r="G1492" s="697"/>
      <c r="H1492" s="697"/>
      <c r="I1492" s="698"/>
      <c r="J1492" s="10"/>
    </row>
    <row r="1493" spans="1:10" ht="13.5" thickBot="1" x14ac:dyDescent="0.25">
      <c r="A1493" s="408" t="s">
        <v>629</v>
      </c>
      <c r="B1493" s="699" t="s">
        <v>732</v>
      </c>
      <c r="C1493" s="700"/>
      <c r="D1493" s="700"/>
      <c r="E1493" s="700"/>
      <c r="F1493" s="700"/>
      <c r="G1493" s="701"/>
      <c r="H1493" s="470">
        <f>SUM(H1494:H1496)</f>
        <v>263.89</v>
      </c>
      <c r="I1493" s="627" t="s">
        <v>9</v>
      </c>
      <c r="J1493" s="10"/>
    </row>
    <row r="1494" spans="1:10" ht="12.6" customHeight="1" x14ac:dyDescent="0.2">
      <c r="A1494" s="630"/>
      <c r="B1494" s="186"/>
      <c r="C1494" s="196"/>
      <c r="D1494" s="368"/>
      <c r="E1494" s="368"/>
      <c r="F1494" s="368"/>
      <c r="G1494" s="368"/>
      <c r="H1494" s="368"/>
      <c r="I1494" s="370"/>
    </row>
    <row r="1495" spans="1:10" ht="12.6" customHeight="1" x14ac:dyDescent="0.2">
      <c r="A1495" s="630"/>
      <c r="B1495" s="529" t="s">
        <v>603</v>
      </c>
      <c r="C1495" s="187">
        <v>1</v>
      </c>
      <c r="D1495" s="511">
        <v>263.89</v>
      </c>
      <c r="E1495" s="368"/>
      <c r="F1495" s="368"/>
      <c r="G1495" s="368">
        <f>PRODUCT(D1495:F1495)</f>
        <v>263.89</v>
      </c>
      <c r="H1495" s="368">
        <f>G1495*C1495</f>
        <v>263.89</v>
      </c>
      <c r="I1495" s="370" t="s">
        <v>9</v>
      </c>
    </row>
    <row r="1496" spans="1:10" ht="12.6" customHeight="1" thickBot="1" x14ac:dyDescent="0.25">
      <c r="A1496" s="630"/>
      <c r="B1496" s="188"/>
      <c r="C1496" s="189"/>
      <c r="D1496" s="368"/>
      <c r="E1496" s="368"/>
      <c r="F1496" s="368"/>
      <c r="G1496" s="368"/>
      <c r="H1496" s="368"/>
      <c r="I1496" s="370"/>
    </row>
    <row r="1497" spans="1:10" ht="13.5" thickBot="1" x14ac:dyDescent="0.25">
      <c r="A1497" s="408" t="s">
        <v>631</v>
      </c>
      <c r="B1497" s="696" t="s">
        <v>542</v>
      </c>
      <c r="C1497" s="697"/>
      <c r="D1497" s="697"/>
      <c r="E1497" s="697"/>
      <c r="F1497" s="697"/>
      <c r="G1497" s="697"/>
      <c r="H1497" s="697"/>
      <c r="I1497" s="698"/>
      <c r="J1497" s="10"/>
    </row>
    <row r="1498" spans="1:10" ht="13.5" thickBot="1" x14ac:dyDescent="0.25">
      <c r="A1498" s="408" t="s">
        <v>632</v>
      </c>
      <c r="B1498" s="696" t="s">
        <v>604</v>
      </c>
      <c r="C1498" s="697"/>
      <c r="D1498" s="697"/>
      <c r="E1498" s="697"/>
      <c r="F1498" s="697"/>
      <c r="G1498" s="697"/>
      <c r="H1498" s="697"/>
      <c r="I1498" s="698"/>
      <c r="J1498" s="10"/>
    </row>
    <row r="1499" spans="1:10" ht="13.5" thickBot="1" x14ac:dyDescent="0.25">
      <c r="A1499" s="408" t="s">
        <v>633</v>
      </c>
      <c r="B1499" s="699" t="s">
        <v>733</v>
      </c>
      <c r="C1499" s="700"/>
      <c r="D1499" s="700"/>
      <c r="E1499" s="700"/>
      <c r="F1499" s="700"/>
      <c r="G1499" s="701"/>
      <c r="H1499" s="470">
        <f>SUM(H1500:H1503)</f>
        <v>6</v>
      </c>
      <c r="I1499" s="627" t="s">
        <v>8</v>
      </c>
      <c r="J1499" s="10"/>
    </row>
    <row r="1500" spans="1:10" ht="12.6" customHeight="1" x14ac:dyDescent="0.2">
      <c r="A1500" s="630"/>
      <c r="B1500" s="197"/>
      <c r="C1500" s="198"/>
      <c r="D1500" s="368"/>
      <c r="E1500" s="368"/>
      <c r="F1500" s="512"/>
      <c r="G1500" s="512"/>
      <c r="H1500" s="368"/>
      <c r="I1500" s="370"/>
    </row>
    <row r="1501" spans="1:10" ht="12.6" customHeight="1" x14ac:dyDescent="0.2">
      <c r="A1501" s="630"/>
      <c r="B1501" s="529" t="s">
        <v>597</v>
      </c>
      <c r="C1501" s="187">
        <v>3</v>
      </c>
      <c r="D1501" s="368"/>
      <c r="E1501" s="368"/>
      <c r="F1501" s="368"/>
      <c r="G1501" s="511">
        <f>C1501</f>
        <v>3</v>
      </c>
      <c r="H1501" s="511">
        <f>G1501</f>
        <v>3</v>
      </c>
      <c r="I1501" s="370" t="s">
        <v>8</v>
      </c>
    </row>
    <row r="1502" spans="1:10" ht="12.6" customHeight="1" x14ac:dyDescent="0.2">
      <c r="A1502" s="630"/>
      <c r="B1502" s="529" t="s">
        <v>598</v>
      </c>
      <c r="C1502" s="187">
        <v>3</v>
      </c>
      <c r="D1502" s="368"/>
      <c r="E1502" s="368"/>
      <c r="F1502" s="368"/>
      <c r="G1502" s="511">
        <f>C1502</f>
        <v>3</v>
      </c>
      <c r="H1502" s="511">
        <f>G1502</f>
        <v>3</v>
      </c>
      <c r="I1502" s="370" t="s">
        <v>8</v>
      </c>
    </row>
    <row r="1503" spans="1:10" ht="12.6" customHeight="1" thickBot="1" x14ac:dyDescent="0.25">
      <c r="A1503" s="630"/>
      <c r="B1503" s="194"/>
      <c r="C1503" s="195"/>
      <c r="D1503" s="368"/>
      <c r="E1503" s="368"/>
      <c r="F1503" s="384"/>
      <c r="G1503" s="384"/>
      <c r="H1503" s="368"/>
      <c r="I1503" s="370"/>
    </row>
    <row r="1504" spans="1:10" ht="13.5" thickBot="1" x14ac:dyDescent="0.25">
      <c r="A1504" s="408" t="s">
        <v>634</v>
      </c>
      <c r="B1504" s="699" t="s">
        <v>734</v>
      </c>
      <c r="C1504" s="700"/>
      <c r="D1504" s="700"/>
      <c r="E1504" s="700"/>
      <c r="F1504" s="700"/>
      <c r="G1504" s="701"/>
      <c r="H1504" s="470">
        <f>SUM(H1505:H1508)</f>
        <v>56</v>
      </c>
      <c r="I1504" s="627" t="s">
        <v>8</v>
      </c>
      <c r="J1504" s="10"/>
    </row>
    <row r="1505" spans="1:10" ht="12.6" customHeight="1" x14ac:dyDescent="0.2">
      <c r="A1505" s="630"/>
      <c r="B1505" s="186"/>
      <c r="C1505" s="196"/>
      <c r="D1505" s="368"/>
      <c r="E1505" s="368"/>
      <c r="F1505" s="368"/>
      <c r="G1505" s="368"/>
      <c r="H1505" s="368"/>
      <c r="I1505" s="370"/>
    </row>
    <row r="1506" spans="1:10" ht="12.6" customHeight="1" x14ac:dyDescent="0.2">
      <c r="A1506" s="630"/>
      <c r="B1506" s="529" t="s">
        <v>597</v>
      </c>
      <c r="C1506" s="187">
        <v>28</v>
      </c>
      <c r="D1506" s="368"/>
      <c r="E1506" s="368"/>
      <c r="F1506" s="368"/>
      <c r="G1506" s="511">
        <f>C1506</f>
        <v>28</v>
      </c>
      <c r="H1506" s="511">
        <f>G1506</f>
        <v>28</v>
      </c>
      <c r="I1506" s="370" t="s">
        <v>8</v>
      </c>
    </row>
    <row r="1507" spans="1:10" ht="12.6" customHeight="1" x14ac:dyDescent="0.2">
      <c r="A1507" s="630"/>
      <c r="B1507" s="529" t="s">
        <v>598</v>
      </c>
      <c r="C1507" s="187">
        <v>28</v>
      </c>
      <c r="D1507" s="368"/>
      <c r="E1507" s="368"/>
      <c r="F1507" s="368"/>
      <c r="G1507" s="511">
        <f>C1507</f>
        <v>28</v>
      </c>
      <c r="H1507" s="511">
        <f>G1507</f>
        <v>28</v>
      </c>
      <c r="I1507" s="370" t="s">
        <v>8</v>
      </c>
    </row>
    <row r="1508" spans="1:10" ht="12.6" customHeight="1" thickBot="1" x14ac:dyDescent="0.25">
      <c r="A1508" s="630"/>
      <c r="B1508" s="186"/>
      <c r="C1508" s="196"/>
      <c r="D1508" s="368"/>
      <c r="E1508" s="368"/>
      <c r="F1508" s="368"/>
      <c r="G1508" s="368"/>
      <c r="H1508" s="368"/>
      <c r="I1508" s="370"/>
    </row>
    <row r="1509" spans="1:10" ht="13.5" thickBot="1" x14ac:dyDescent="0.25">
      <c r="A1509" s="408" t="s">
        <v>635</v>
      </c>
      <c r="B1509" s="699" t="s">
        <v>704</v>
      </c>
      <c r="C1509" s="700"/>
      <c r="D1509" s="700"/>
      <c r="E1509" s="700"/>
      <c r="F1509" s="700"/>
      <c r="G1509" s="701"/>
      <c r="H1509" s="470">
        <f>SUM(H1510:H1512)</f>
        <v>3</v>
      </c>
      <c r="I1509" s="627" t="s">
        <v>8</v>
      </c>
      <c r="J1509" s="10"/>
    </row>
    <row r="1510" spans="1:10" ht="12.6" customHeight="1" x14ac:dyDescent="0.2">
      <c r="A1510" s="630"/>
      <c r="B1510" s="186"/>
      <c r="C1510" s="196"/>
      <c r="D1510" s="368"/>
      <c r="E1510" s="368"/>
      <c r="F1510" s="368"/>
      <c r="G1510" s="368"/>
      <c r="H1510" s="368"/>
      <c r="I1510" s="370"/>
    </row>
    <row r="1511" spans="1:10" ht="12.6" customHeight="1" x14ac:dyDescent="0.2">
      <c r="A1511" s="630"/>
      <c r="B1511" s="529" t="s">
        <v>603</v>
      </c>
      <c r="C1511" s="187">
        <v>3</v>
      </c>
      <c r="D1511" s="368"/>
      <c r="E1511" s="368"/>
      <c r="F1511" s="368"/>
      <c r="G1511" s="511">
        <f>C1511</f>
        <v>3</v>
      </c>
      <c r="H1511" s="511">
        <f>G1511</f>
        <v>3</v>
      </c>
      <c r="I1511" s="370" t="s">
        <v>8</v>
      </c>
    </row>
    <row r="1512" spans="1:10" ht="12.6" customHeight="1" thickBot="1" x14ac:dyDescent="0.25">
      <c r="A1512" s="628"/>
      <c r="B1512" s="186"/>
      <c r="C1512" s="196"/>
      <c r="D1512" s="368"/>
      <c r="E1512" s="368"/>
      <c r="F1512" s="368"/>
      <c r="G1512" s="368"/>
      <c r="H1512" s="368"/>
      <c r="I1512" s="370"/>
    </row>
    <row r="1513" spans="1:10" ht="13.5" thickBot="1" x14ac:dyDescent="0.25">
      <c r="A1513" s="408" t="s">
        <v>636</v>
      </c>
      <c r="B1513" s="699" t="s">
        <v>705</v>
      </c>
      <c r="C1513" s="700"/>
      <c r="D1513" s="700"/>
      <c r="E1513" s="700"/>
      <c r="F1513" s="700"/>
      <c r="G1513" s="701"/>
      <c r="H1513" s="470">
        <f>SUM(H1514:H1517)</f>
        <v>44</v>
      </c>
      <c r="I1513" s="627" t="s">
        <v>8</v>
      </c>
      <c r="J1513" s="10"/>
    </row>
    <row r="1514" spans="1:10" ht="12.6" customHeight="1" x14ac:dyDescent="0.2">
      <c r="A1514" s="630"/>
      <c r="B1514" s="186"/>
      <c r="C1514" s="187"/>
      <c r="D1514" s="368"/>
      <c r="E1514" s="368"/>
      <c r="F1514" s="368"/>
      <c r="G1514" s="368"/>
      <c r="H1514" s="368"/>
      <c r="I1514" s="370"/>
    </row>
    <row r="1515" spans="1:10" ht="12.6" customHeight="1" x14ac:dyDescent="0.2">
      <c r="A1515" s="630"/>
      <c r="B1515" s="529" t="s">
        <v>597</v>
      </c>
      <c r="C1515" s="187">
        <v>22</v>
      </c>
      <c r="D1515" s="368"/>
      <c r="E1515" s="368"/>
      <c r="F1515" s="368"/>
      <c r="G1515" s="511">
        <f>C1515</f>
        <v>22</v>
      </c>
      <c r="H1515" s="511">
        <f>G1515</f>
        <v>22</v>
      </c>
      <c r="I1515" s="370" t="s">
        <v>8</v>
      </c>
    </row>
    <row r="1516" spans="1:10" ht="12.6" customHeight="1" x14ac:dyDescent="0.2">
      <c r="A1516" s="630"/>
      <c r="B1516" s="529" t="s">
        <v>598</v>
      </c>
      <c r="C1516" s="187">
        <v>22</v>
      </c>
      <c r="D1516" s="368"/>
      <c r="E1516" s="368"/>
      <c r="F1516" s="368"/>
      <c r="G1516" s="511">
        <f>C1516</f>
        <v>22</v>
      </c>
      <c r="H1516" s="511">
        <f>G1516</f>
        <v>22</v>
      </c>
      <c r="I1516" s="370" t="s">
        <v>8</v>
      </c>
    </row>
    <row r="1517" spans="1:10" ht="12.6" customHeight="1" thickBot="1" x14ac:dyDescent="0.25">
      <c r="A1517" s="630"/>
      <c r="B1517" s="188"/>
      <c r="C1517" s="189"/>
      <c r="D1517" s="368"/>
      <c r="E1517" s="368"/>
      <c r="F1517" s="368"/>
      <c r="G1517" s="368"/>
      <c r="H1517" s="368"/>
      <c r="I1517" s="370"/>
    </row>
    <row r="1518" spans="1:10" ht="13.5" thickBot="1" x14ac:dyDescent="0.25">
      <c r="A1518" s="408" t="s">
        <v>637</v>
      </c>
      <c r="B1518" s="699" t="s">
        <v>706</v>
      </c>
      <c r="C1518" s="700"/>
      <c r="D1518" s="700"/>
      <c r="E1518" s="700"/>
      <c r="F1518" s="700"/>
      <c r="G1518" s="701"/>
      <c r="H1518" s="470">
        <f>SUM(H1519:H1522)</f>
        <v>48</v>
      </c>
      <c r="I1518" s="627" t="s">
        <v>8</v>
      </c>
      <c r="J1518" s="10"/>
    </row>
    <row r="1519" spans="1:10" ht="12.6" customHeight="1" x14ac:dyDescent="0.2">
      <c r="A1519" s="630"/>
      <c r="B1519" s="197"/>
      <c r="C1519" s="198"/>
      <c r="D1519" s="368"/>
      <c r="E1519" s="368"/>
      <c r="F1519" s="512"/>
      <c r="G1519" s="512"/>
      <c r="H1519" s="368"/>
      <c r="I1519" s="370"/>
    </row>
    <row r="1520" spans="1:10" ht="12.6" customHeight="1" x14ac:dyDescent="0.2">
      <c r="A1520" s="630"/>
      <c r="B1520" s="529" t="s">
        <v>597</v>
      </c>
      <c r="C1520" s="187">
        <v>24</v>
      </c>
      <c r="D1520" s="368"/>
      <c r="E1520" s="368"/>
      <c r="F1520" s="368"/>
      <c r="G1520" s="511">
        <f>C1520</f>
        <v>24</v>
      </c>
      <c r="H1520" s="511">
        <f>G1520</f>
        <v>24</v>
      </c>
      <c r="I1520" s="370" t="s">
        <v>8</v>
      </c>
    </row>
    <row r="1521" spans="1:10" ht="12.6" customHeight="1" x14ac:dyDescent="0.2">
      <c r="A1521" s="630"/>
      <c r="B1521" s="529" t="s">
        <v>598</v>
      </c>
      <c r="C1521" s="187">
        <v>24</v>
      </c>
      <c r="D1521" s="368"/>
      <c r="E1521" s="368"/>
      <c r="F1521" s="368"/>
      <c r="G1521" s="511">
        <f>C1521</f>
        <v>24</v>
      </c>
      <c r="H1521" s="511">
        <f>G1521</f>
        <v>24</v>
      </c>
      <c r="I1521" s="370" t="s">
        <v>8</v>
      </c>
    </row>
    <row r="1522" spans="1:10" ht="12.6" customHeight="1" thickBot="1" x14ac:dyDescent="0.25">
      <c r="A1522" s="630"/>
      <c r="B1522" s="192"/>
      <c r="C1522" s="193"/>
      <c r="D1522" s="368"/>
      <c r="E1522" s="368"/>
      <c r="F1522" s="384"/>
      <c r="G1522" s="384"/>
      <c r="H1522" s="368"/>
      <c r="I1522" s="370"/>
    </row>
    <row r="1523" spans="1:10" ht="13.5" thickBot="1" x14ac:dyDescent="0.25">
      <c r="A1523" s="408" t="s">
        <v>638</v>
      </c>
      <c r="B1523" s="699" t="s">
        <v>707</v>
      </c>
      <c r="C1523" s="700"/>
      <c r="D1523" s="700"/>
      <c r="E1523" s="700"/>
      <c r="F1523" s="700"/>
      <c r="G1523" s="701"/>
      <c r="H1523" s="470">
        <f>SUM(H1524:H1527)</f>
        <v>48</v>
      </c>
      <c r="I1523" s="627" t="s">
        <v>8</v>
      </c>
      <c r="J1523" s="10"/>
    </row>
    <row r="1524" spans="1:10" ht="12.6" customHeight="1" x14ac:dyDescent="0.2">
      <c r="A1524" s="630"/>
      <c r="B1524" s="197"/>
      <c r="C1524" s="198"/>
      <c r="D1524" s="368"/>
      <c r="E1524" s="368"/>
      <c r="F1524" s="512"/>
      <c r="G1524" s="512"/>
      <c r="H1524" s="368"/>
      <c r="I1524" s="370"/>
    </row>
    <row r="1525" spans="1:10" ht="12.6" customHeight="1" x14ac:dyDescent="0.2">
      <c r="A1525" s="630"/>
      <c r="B1525" s="529" t="s">
        <v>597</v>
      </c>
      <c r="C1525" s="187">
        <v>24</v>
      </c>
      <c r="D1525" s="368"/>
      <c r="E1525" s="368"/>
      <c r="F1525" s="368"/>
      <c r="G1525" s="511">
        <f>C1525</f>
        <v>24</v>
      </c>
      <c r="H1525" s="511">
        <f>G1525</f>
        <v>24</v>
      </c>
      <c r="I1525" s="370" t="s">
        <v>8</v>
      </c>
    </row>
    <row r="1526" spans="1:10" ht="12.6" customHeight="1" x14ac:dyDescent="0.2">
      <c r="A1526" s="630"/>
      <c r="B1526" s="529" t="s">
        <v>598</v>
      </c>
      <c r="C1526" s="187">
        <v>24</v>
      </c>
      <c r="D1526" s="368"/>
      <c r="E1526" s="368"/>
      <c r="F1526" s="368"/>
      <c r="G1526" s="511">
        <f>C1526</f>
        <v>24</v>
      </c>
      <c r="H1526" s="511">
        <f>G1526</f>
        <v>24</v>
      </c>
      <c r="I1526" s="370" t="s">
        <v>8</v>
      </c>
    </row>
    <row r="1527" spans="1:10" ht="12.6" customHeight="1" thickBot="1" x14ac:dyDescent="0.25">
      <c r="A1527" s="630"/>
      <c r="B1527" s="192"/>
      <c r="C1527" s="193"/>
      <c r="D1527" s="368"/>
      <c r="E1527" s="368"/>
      <c r="F1527" s="384"/>
      <c r="G1527" s="384"/>
      <c r="H1527" s="368"/>
      <c r="I1527" s="370"/>
    </row>
    <row r="1528" spans="1:10" ht="13.5" thickBot="1" x14ac:dyDescent="0.25">
      <c r="A1528" s="408" t="s">
        <v>639</v>
      </c>
      <c r="B1528" s="699" t="s">
        <v>708</v>
      </c>
      <c r="C1528" s="700"/>
      <c r="D1528" s="700"/>
      <c r="E1528" s="700"/>
      <c r="F1528" s="700"/>
      <c r="G1528" s="701"/>
      <c r="H1528" s="470">
        <f>SUM(H1529:H1531)</f>
        <v>16</v>
      </c>
      <c r="I1528" s="627" t="s">
        <v>8</v>
      </c>
      <c r="J1528" s="10"/>
    </row>
    <row r="1529" spans="1:10" ht="12.6" customHeight="1" x14ac:dyDescent="0.2">
      <c r="A1529" s="630"/>
      <c r="B1529" s="197"/>
      <c r="C1529" s="198"/>
      <c r="D1529" s="368"/>
      <c r="E1529" s="368"/>
      <c r="F1529" s="512"/>
      <c r="G1529" s="512"/>
      <c r="H1529" s="368"/>
      <c r="I1529" s="370"/>
    </row>
    <row r="1530" spans="1:10" ht="12.6" customHeight="1" x14ac:dyDescent="0.2">
      <c r="A1530" s="630"/>
      <c r="B1530" s="529" t="s">
        <v>603</v>
      </c>
      <c r="C1530" s="187">
        <v>16</v>
      </c>
      <c r="D1530" s="368"/>
      <c r="E1530" s="368"/>
      <c r="F1530" s="368"/>
      <c r="G1530" s="511">
        <f>C1530</f>
        <v>16</v>
      </c>
      <c r="H1530" s="511">
        <f>G1530</f>
        <v>16</v>
      </c>
      <c r="I1530" s="370" t="s">
        <v>8</v>
      </c>
    </row>
    <row r="1531" spans="1:10" ht="12.6" customHeight="1" thickBot="1" x14ac:dyDescent="0.25">
      <c r="A1531" s="630"/>
      <c r="B1531" s="192"/>
      <c r="C1531" s="193"/>
      <c r="D1531" s="368"/>
      <c r="E1531" s="368"/>
      <c r="F1531" s="384"/>
      <c r="G1531" s="384"/>
      <c r="H1531" s="368"/>
      <c r="I1531" s="370"/>
    </row>
    <row r="1532" spans="1:10" ht="13.5" thickBot="1" x14ac:dyDescent="0.25">
      <c r="A1532" s="408" t="s">
        <v>640</v>
      </c>
      <c r="B1532" s="699" t="s">
        <v>709</v>
      </c>
      <c r="C1532" s="700"/>
      <c r="D1532" s="700"/>
      <c r="E1532" s="700"/>
      <c r="F1532" s="700"/>
      <c r="G1532" s="701"/>
      <c r="H1532" s="470">
        <f>SUM(H1533:H1535)</f>
        <v>4</v>
      </c>
      <c r="I1532" s="627" t="s">
        <v>8</v>
      </c>
      <c r="J1532" s="10"/>
    </row>
    <row r="1533" spans="1:10" ht="12.6" customHeight="1" x14ac:dyDescent="0.2">
      <c r="A1533" s="630"/>
      <c r="B1533" s="197"/>
      <c r="C1533" s="198"/>
      <c r="D1533" s="368"/>
      <c r="E1533" s="368"/>
      <c r="F1533" s="512"/>
      <c r="G1533" s="512"/>
      <c r="H1533" s="368"/>
      <c r="I1533" s="370"/>
    </row>
    <row r="1534" spans="1:10" ht="12.6" customHeight="1" x14ac:dyDescent="0.2">
      <c r="A1534" s="630"/>
      <c r="B1534" s="529" t="s">
        <v>603</v>
      </c>
      <c r="C1534" s="187">
        <v>4</v>
      </c>
      <c r="D1534" s="368"/>
      <c r="E1534" s="368"/>
      <c r="F1534" s="368"/>
      <c r="G1534" s="511">
        <f>C1534</f>
        <v>4</v>
      </c>
      <c r="H1534" s="511">
        <f>G1534</f>
        <v>4</v>
      </c>
      <c r="I1534" s="370" t="s">
        <v>8</v>
      </c>
    </row>
    <row r="1535" spans="1:10" ht="12.6" customHeight="1" thickBot="1" x14ac:dyDescent="0.25">
      <c r="A1535" s="630"/>
      <c r="B1535" s="192"/>
      <c r="C1535" s="193"/>
      <c r="D1535" s="368"/>
      <c r="E1535" s="368"/>
      <c r="F1535" s="384"/>
      <c r="G1535" s="384"/>
      <c r="H1535" s="368"/>
      <c r="I1535" s="370"/>
    </row>
    <row r="1536" spans="1:10" ht="13.5" thickBot="1" x14ac:dyDescent="0.25">
      <c r="A1536" s="408" t="s">
        <v>641</v>
      </c>
      <c r="B1536" s="699" t="s">
        <v>710</v>
      </c>
      <c r="C1536" s="700"/>
      <c r="D1536" s="700"/>
      <c r="E1536" s="700"/>
      <c r="F1536" s="700"/>
      <c r="G1536" s="701"/>
      <c r="H1536" s="470">
        <f>SUM(H1537:H1540)</f>
        <v>48</v>
      </c>
      <c r="I1536" s="627" t="s">
        <v>8</v>
      </c>
      <c r="J1536" s="10"/>
    </row>
    <row r="1537" spans="1:10" ht="12.6" customHeight="1" x14ac:dyDescent="0.2">
      <c r="A1537" s="630"/>
      <c r="B1537" s="197"/>
      <c r="C1537" s="198"/>
      <c r="D1537" s="368"/>
      <c r="E1537" s="368"/>
      <c r="F1537" s="512"/>
      <c r="G1537" s="512"/>
      <c r="H1537" s="368"/>
      <c r="I1537" s="370"/>
    </row>
    <row r="1538" spans="1:10" ht="12.6" customHeight="1" x14ac:dyDescent="0.2">
      <c r="A1538" s="630"/>
      <c r="B1538" s="529" t="s">
        <v>597</v>
      </c>
      <c r="C1538" s="187">
        <v>24</v>
      </c>
      <c r="D1538" s="368"/>
      <c r="E1538" s="368"/>
      <c r="F1538" s="368"/>
      <c r="G1538" s="511">
        <f>C1538</f>
        <v>24</v>
      </c>
      <c r="H1538" s="511">
        <f>G1538</f>
        <v>24</v>
      </c>
      <c r="I1538" s="370" t="s">
        <v>8</v>
      </c>
    </row>
    <row r="1539" spans="1:10" ht="12.6" customHeight="1" x14ac:dyDescent="0.2">
      <c r="A1539" s="630"/>
      <c r="B1539" s="529" t="s">
        <v>598</v>
      </c>
      <c r="C1539" s="187">
        <v>24</v>
      </c>
      <c r="D1539" s="368"/>
      <c r="E1539" s="368"/>
      <c r="F1539" s="368"/>
      <c r="G1539" s="511">
        <f>C1539</f>
        <v>24</v>
      </c>
      <c r="H1539" s="511">
        <f>G1539</f>
        <v>24</v>
      </c>
      <c r="I1539" s="370" t="s">
        <v>8</v>
      </c>
    </row>
    <row r="1540" spans="1:10" ht="12.6" customHeight="1" thickBot="1" x14ac:dyDescent="0.25">
      <c r="A1540" s="630"/>
      <c r="B1540" s="192"/>
      <c r="C1540" s="193"/>
      <c r="D1540" s="368"/>
      <c r="E1540" s="368"/>
      <c r="F1540" s="384"/>
      <c r="G1540" s="384"/>
      <c r="H1540" s="368"/>
      <c r="I1540" s="370"/>
    </row>
    <row r="1541" spans="1:10" ht="13.5" thickBot="1" x14ac:dyDescent="0.25">
      <c r="A1541" s="408" t="s">
        <v>642</v>
      </c>
      <c r="B1541" s="699" t="s">
        <v>735</v>
      </c>
      <c r="C1541" s="700"/>
      <c r="D1541" s="700"/>
      <c r="E1541" s="700"/>
      <c r="F1541" s="700"/>
      <c r="G1541" s="701"/>
      <c r="H1541" s="470">
        <f>SUM(H1542:H1545)</f>
        <v>32</v>
      </c>
      <c r="I1541" s="627" t="s">
        <v>8</v>
      </c>
      <c r="J1541" s="10"/>
    </row>
    <row r="1542" spans="1:10" x14ac:dyDescent="0.2">
      <c r="A1542" s="630"/>
      <c r="B1542" s="197"/>
      <c r="C1542" s="198"/>
      <c r="D1542" s="368"/>
      <c r="E1542" s="368"/>
      <c r="F1542" s="512"/>
      <c r="G1542" s="512"/>
      <c r="H1542" s="368"/>
      <c r="I1542" s="370"/>
    </row>
    <row r="1543" spans="1:10" x14ac:dyDescent="0.2">
      <c r="A1543" s="630"/>
      <c r="B1543" s="529" t="s">
        <v>597</v>
      </c>
      <c r="C1543" s="187">
        <v>16</v>
      </c>
      <c r="D1543" s="368"/>
      <c r="E1543" s="368"/>
      <c r="F1543" s="368"/>
      <c r="G1543" s="511">
        <f>C1543</f>
        <v>16</v>
      </c>
      <c r="H1543" s="511">
        <f>G1543</f>
        <v>16</v>
      </c>
      <c r="I1543" s="370" t="s">
        <v>8</v>
      </c>
    </row>
    <row r="1544" spans="1:10" x14ac:dyDescent="0.2">
      <c r="A1544" s="630"/>
      <c r="B1544" s="529" t="s">
        <v>598</v>
      </c>
      <c r="C1544" s="187">
        <v>16</v>
      </c>
      <c r="D1544" s="368"/>
      <c r="E1544" s="368"/>
      <c r="F1544" s="368"/>
      <c r="G1544" s="511">
        <f>C1544</f>
        <v>16</v>
      </c>
      <c r="H1544" s="511">
        <f>G1544</f>
        <v>16</v>
      </c>
      <c r="I1544" s="370" t="s">
        <v>8</v>
      </c>
    </row>
    <row r="1545" spans="1:10" ht="13.5" thickBot="1" x14ac:dyDescent="0.25">
      <c r="A1545" s="630"/>
      <c r="B1545" s="192"/>
      <c r="C1545" s="193"/>
      <c r="D1545" s="368"/>
      <c r="E1545" s="368"/>
      <c r="F1545" s="384"/>
      <c r="G1545" s="384"/>
      <c r="H1545" s="368"/>
      <c r="I1545" s="370"/>
    </row>
    <row r="1546" spans="1:10" ht="13.5" thickBot="1" x14ac:dyDescent="0.25">
      <c r="A1546" s="408" t="s">
        <v>643</v>
      </c>
      <c r="B1546" s="699" t="s">
        <v>712</v>
      </c>
      <c r="C1546" s="700"/>
      <c r="D1546" s="700"/>
      <c r="E1546" s="700"/>
      <c r="F1546" s="700"/>
      <c r="G1546" s="701"/>
      <c r="H1546" s="470">
        <f>SUM(H1547:H1550)</f>
        <v>4</v>
      </c>
      <c r="I1546" s="627" t="s">
        <v>8</v>
      </c>
      <c r="J1546" s="10"/>
    </row>
    <row r="1547" spans="1:10" x14ac:dyDescent="0.2">
      <c r="A1547" s="629"/>
      <c r="B1547" s="197"/>
      <c r="C1547" s="198"/>
      <c r="D1547" s="368"/>
      <c r="E1547" s="368"/>
      <c r="F1547" s="512"/>
      <c r="G1547" s="512"/>
      <c r="H1547" s="368"/>
      <c r="I1547" s="370"/>
    </row>
    <row r="1548" spans="1:10" x14ac:dyDescent="0.2">
      <c r="A1548" s="630"/>
      <c r="B1548" s="529" t="s">
        <v>597</v>
      </c>
      <c r="C1548" s="187">
        <v>2</v>
      </c>
      <c r="D1548" s="368"/>
      <c r="E1548" s="368"/>
      <c r="F1548" s="368"/>
      <c r="G1548" s="511">
        <f>C1548</f>
        <v>2</v>
      </c>
      <c r="H1548" s="511">
        <f>G1548</f>
        <v>2</v>
      </c>
      <c r="I1548" s="370" t="s">
        <v>8</v>
      </c>
    </row>
    <row r="1549" spans="1:10" x14ac:dyDescent="0.2">
      <c r="A1549" s="630"/>
      <c r="B1549" s="529" t="s">
        <v>598</v>
      </c>
      <c r="C1549" s="187">
        <v>2</v>
      </c>
      <c r="D1549" s="368"/>
      <c r="E1549" s="368"/>
      <c r="F1549" s="368"/>
      <c r="G1549" s="511">
        <f>C1549</f>
        <v>2</v>
      </c>
      <c r="H1549" s="511">
        <f>G1549</f>
        <v>2</v>
      </c>
      <c r="I1549" s="370" t="s">
        <v>8</v>
      </c>
    </row>
    <row r="1550" spans="1:10" ht="13.5" thickBot="1" x14ac:dyDescent="0.25">
      <c r="A1550" s="628"/>
      <c r="B1550" s="192"/>
      <c r="C1550" s="193"/>
      <c r="D1550" s="368"/>
      <c r="E1550" s="368"/>
      <c r="F1550" s="384"/>
      <c r="G1550" s="384"/>
      <c r="H1550" s="368"/>
      <c r="I1550" s="370"/>
    </row>
    <row r="1551" spans="1:10" ht="13.5" thickBot="1" x14ac:dyDescent="0.25">
      <c r="A1551" s="408" t="s">
        <v>644</v>
      </c>
      <c r="B1551" s="699" t="s">
        <v>713</v>
      </c>
      <c r="C1551" s="700"/>
      <c r="D1551" s="700"/>
      <c r="E1551" s="700"/>
      <c r="F1551" s="700"/>
      <c r="G1551" s="701"/>
      <c r="H1551" s="470">
        <f>SUM(H1552:H1554)</f>
        <v>8</v>
      </c>
      <c r="I1551" s="627" t="s">
        <v>8</v>
      </c>
      <c r="J1551" s="10"/>
    </row>
    <row r="1552" spans="1:10" x14ac:dyDescent="0.2">
      <c r="A1552" s="630"/>
      <c r="B1552" s="186"/>
      <c r="C1552" s="196"/>
      <c r="D1552" s="368"/>
      <c r="E1552" s="368"/>
      <c r="F1552" s="368"/>
      <c r="G1552" s="368"/>
      <c r="H1552" s="368"/>
      <c r="I1552" s="370"/>
    </row>
    <row r="1553" spans="1:10" x14ac:dyDescent="0.2">
      <c r="A1553" s="630"/>
      <c r="B1553" s="529" t="s">
        <v>603</v>
      </c>
      <c r="C1553" s="187">
        <v>8</v>
      </c>
      <c r="D1553" s="368"/>
      <c r="E1553" s="368"/>
      <c r="F1553" s="368"/>
      <c r="G1553" s="511">
        <f>C1553</f>
        <v>8</v>
      </c>
      <c r="H1553" s="511">
        <f>G1553</f>
        <v>8</v>
      </c>
      <c r="I1553" s="370" t="s">
        <v>8</v>
      </c>
    </row>
    <row r="1554" spans="1:10" ht="13.5" thickBot="1" x14ac:dyDescent="0.25">
      <c r="A1554" s="630"/>
      <c r="B1554" s="188"/>
      <c r="C1554" s="189"/>
      <c r="D1554" s="368"/>
      <c r="E1554" s="368"/>
      <c r="F1554" s="368"/>
      <c r="G1554" s="368"/>
      <c r="H1554" s="368"/>
      <c r="I1554" s="370"/>
    </row>
    <row r="1555" spans="1:10" ht="13.5" thickBot="1" x14ac:dyDescent="0.25">
      <c r="A1555" s="408" t="s">
        <v>646</v>
      </c>
      <c r="B1555" s="696" t="s">
        <v>543</v>
      </c>
      <c r="C1555" s="697"/>
      <c r="D1555" s="697"/>
      <c r="E1555" s="697"/>
      <c r="F1555" s="697"/>
      <c r="G1555" s="697"/>
      <c r="H1555" s="697"/>
      <c r="I1555" s="698"/>
      <c r="J1555" s="10"/>
    </row>
    <row r="1556" spans="1:10" ht="13.5" thickBot="1" x14ac:dyDescent="0.25">
      <c r="A1556" s="408" t="s">
        <v>647</v>
      </c>
      <c r="B1556" s="699" t="s">
        <v>714</v>
      </c>
      <c r="C1556" s="700"/>
      <c r="D1556" s="700"/>
      <c r="E1556" s="700"/>
      <c r="F1556" s="700"/>
      <c r="G1556" s="701"/>
      <c r="H1556" s="470">
        <f>SUM(H1557:H1559)</f>
        <v>4</v>
      </c>
      <c r="I1556" s="627" t="s">
        <v>8</v>
      </c>
      <c r="J1556" s="10"/>
    </row>
    <row r="1557" spans="1:10" x14ac:dyDescent="0.2">
      <c r="A1557" s="630"/>
      <c r="B1557" s="186"/>
      <c r="C1557" s="196"/>
      <c r="D1557" s="368"/>
      <c r="E1557" s="368"/>
      <c r="F1557" s="368"/>
      <c r="G1557" s="368"/>
      <c r="H1557" s="368"/>
      <c r="I1557" s="370"/>
    </row>
    <row r="1558" spans="1:10" x14ac:dyDescent="0.2">
      <c r="A1558" s="630"/>
      <c r="B1558" s="529" t="s">
        <v>603</v>
      </c>
      <c r="C1558" s="187">
        <v>4</v>
      </c>
      <c r="D1558" s="368"/>
      <c r="E1558" s="368"/>
      <c r="F1558" s="368"/>
      <c r="G1558" s="511">
        <f>C1558</f>
        <v>4</v>
      </c>
      <c r="H1558" s="511">
        <f>G1558</f>
        <v>4</v>
      </c>
      <c r="I1558" s="370" t="s">
        <v>8</v>
      </c>
    </row>
    <row r="1559" spans="1:10" ht="13.5" thickBot="1" x14ac:dyDescent="0.25">
      <c r="A1559" s="630"/>
      <c r="B1559" s="188"/>
      <c r="C1559" s="189"/>
      <c r="D1559" s="368"/>
      <c r="E1559" s="368"/>
      <c r="F1559" s="368"/>
      <c r="G1559" s="368"/>
      <c r="H1559" s="368"/>
      <c r="I1559" s="370"/>
    </row>
    <row r="1560" spans="1:10" ht="13.5" thickBot="1" x14ac:dyDescent="0.25">
      <c r="A1560" s="408" t="s">
        <v>645</v>
      </c>
      <c r="B1560" s="696" t="s">
        <v>544</v>
      </c>
      <c r="C1560" s="697"/>
      <c r="D1560" s="697"/>
      <c r="E1560" s="697"/>
      <c r="F1560" s="697"/>
      <c r="G1560" s="697"/>
      <c r="H1560" s="697"/>
      <c r="I1560" s="698"/>
      <c r="J1560" s="10"/>
    </row>
    <row r="1561" spans="1:10" ht="13.5" thickBot="1" x14ac:dyDescent="0.25">
      <c r="A1561" s="408" t="s">
        <v>648</v>
      </c>
      <c r="B1561" s="699" t="s">
        <v>736</v>
      </c>
      <c r="C1561" s="700"/>
      <c r="D1561" s="700"/>
      <c r="E1561" s="700"/>
      <c r="F1561" s="700"/>
      <c r="G1561" s="701"/>
      <c r="H1561" s="470">
        <f>SUM(H1562:H1564)</f>
        <v>1</v>
      </c>
      <c r="I1561" s="627" t="s">
        <v>784</v>
      </c>
      <c r="J1561" s="10"/>
    </row>
    <row r="1562" spans="1:10" x14ac:dyDescent="0.2">
      <c r="A1562" s="630"/>
      <c r="B1562" s="186"/>
      <c r="C1562" s="197"/>
      <c r="D1562" s="368"/>
      <c r="E1562" s="368"/>
      <c r="F1562" s="368"/>
      <c r="G1562" s="368"/>
      <c r="H1562" s="368"/>
      <c r="I1562" s="370"/>
    </row>
    <row r="1563" spans="1:10" x14ac:dyDescent="0.2">
      <c r="A1563" s="630"/>
      <c r="B1563" s="529" t="s">
        <v>545</v>
      </c>
      <c r="C1563" s="199">
        <v>1</v>
      </c>
      <c r="D1563" s="368"/>
      <c r="E1563" s="368"/>
      <c r="F1563" s="368"/>
      <c r="G1563" s="511">
        <f>C1563</f>
        <v>1</v>
      </c>
      <c r="H1563" s="511">
        <f>G1563</f>
        <v>1</v>
      </c>
      <c r="I1563" s="370" t="s">
        <v>31</v>
      </c>
    </row>
    <row r="1564" spans="1:10" ht="13.5" thickBot="1" x14ac:dyDescent="0.25">
      <c r="A1564" s="630"/>
      <c r="B1564" s="188"/>
      <c r="C1564" s="189"/>
      <c r="D1564" s="368"/>
      <c r="E1564" s="368"/>
      <c r="F1564" s="368"/>
      <c r="G1564" s="368"/>
      <c r="H1564" s="368"/>
      <c r="I1564" s="370"/>
    </row>
    <row r="1565" spans="1:10" ht="13.5" thickBot="1" x14ac:dyDescent="0.25">
      <c r="A1565" s="408" t="s">
        <v>649</v>
      </c>
      <c r="B1565" s="699" t="s">
        <v>737</v>
      </c>
      <c r="C1565" s="700"/>
      <c r="D1565" s="700"/>
      <c r="E1565" s="700"/>
      <c r="F1565" s="700"/>
      <c r="G1565" s="701"/>
      <c r="H1565" s="470">
        <f>SUM(H1566:H1568)</f>
        <v>1</v>
      </c>
      <c r="I1565" s="627" t="s">
        <v>784</v>
      </c>
      <c r="J1565" s="10"/>
    </row>
    <row r="1566" spans="1:10" x14ac:dyDescent="0.2">
      <c r="A1566" s="630"/>
      <c r="B1566" s="186"/>
      <c r="C1566" s="196"/>
      <c r="D1566" s="368"/>
      <c r="E1566" s="368"/>
      <c r="F1566" s="368"/>
      <c r="G1566" s="368"/>
      <c r="H1566" s="368"/>
      <c r="I1566" s="370"/>
    </row>
    <row r="1567" spans="1:10" x14ac:dyDescent="0.2">
      <c r="A1567" s="630"/>
      <c r="B1567" s="529" t="s">
        <v>545</v>
      </c>
      <c r="C1567" s="187">
        <v>1</v>
      </c>
      <c r="D1567" s="368"/>
      <c r="E1567" s="368"/>
      <c r="F1567" s="368"/>
      <c r="G1567" s="511">
        <f>C1567</f>
        <v>1</v>
      </c>
      <c r="H1567" s="511">
        <f>G1567</f>
        <v>1</v>
      </c>
      <c r="I1567" s="370" t="s">
        <v>31</v>
      </c>
    </row>
    <row r="1568" spans="1:10" ht="13.5" thickBot="1" x14ac:dyDescent="0.25">
      <c r="A1568" s="630"/>
      <c r="B1568" s="188"/>
      <c r="C1568" s="189"/>
      <c r="D1568" s="368"/>
      <c r="E1568" s="368"/>
      <c r="F1568" s="368"/>
      <c r="G1568" s="368"/>
      <c r="H1568" s="368"/>
      <c r="I1568" s="370"/>
    </row>
    <row r="1569" spans="1:10" ht="13.5" thickBot="1" x14ac:dyDescent="0.25">
      <c r="A1569" s="408" t="s">
        <v>650</v>
      </c>
      <c r="B1569" s="696" t="s">
        <v>546</v>
      </c>
      <c r="C1569" s="697"/>
      <c r="D1569" s="697"/>
      <c r="E1569" s="697"/>
      <c r="F1569" s="697"/>
      <c r="G1569" s="697"/>
      <c r="H1569" s="697"/>
      <c r="I1569" s="698"/>
      <c r="J1569" s="10"/>
    </row>
    <row r="1570" spans="1:10" ht="13.5" thickBot="1" x14ac:dyDescent="0.25">
      <c r="A1570" s="408" t="s">
        <v>651</v>
      </c>
      <c r="B1570" s="699" t="s">
        <v>717</v>
      </c>
      <c r="C1570" s="700"/>
      <c r="D1570" s="700"/>
      <c r="E1570" s="700"/>
      <c r="F1570" s="700"/>
      <c r="G1570" s="701"/>
      <c r="H1570" s="470">
        <f>SUM(H1571:H1573)</f>
        <v>32</v>
      </c>
      <c r="I1570" s="627" t="s">
        <v>557</v>
      </c>
      <c r="J1570" s="10"/>
    </row>
    <row r="1571" spans="1:10" x14ac:dyDescent="0.2">
      <c r="A1571" s="628"/>
      <c r="B1571" s="184"/>
      <c r="C1571" s="185"/>
      <c r="D1571" s="368"/>
      <c r="E1571" s="368"/>
      <c r="F1571" s="368"/>
      <c r="G1571" s="368"/>
      <c r="H1571" s="368"/>
      <c r="I1571" s="370"/>
    </row>
    <row r="1572" spans="1:10" x14ac:dyDescent="0.2">
      <c r="A1572" s="629"/>
      <c r="B1572" s="529" t="s">
        <v>605</v>
      </c>
      <c r="C1572" s="187">
        <v>16</v>
      </c>
      <c r="D1572" s="368"/>
      <c r="E1572" s="368"/>
      <c r="F1572" s="368"/>
      <c r="G1572" s="511">
        <f>C1572</f>
        <v>16</v>
      </c>
      <c r="H1572" s="511">
        <f>G1572</f>
        <v>16</v>
      </c>
      <c r="I1572" s="370" t="s">
        <v>557</v>
      </c>
    </row>
    <row r="1573" spans="1:10" x14ac:dyDescent="0.2">
      <c r="A1573" s="629"/>
      <c r="B1573" s="529" t="s">
        <v>606</v>
      </c>
      <c r="C1573" s="187">
        <v>16</v>
      </c>
      <c r="D1573" s="368"/>
      <c r="E1573" s="368"/>
      <c r="F1573" s="368"/>
      <c r="G1573" s="511">
        <f>C1573</f>
        <v>16</v>
      </c>
      <c r="H1573" s="511">
        <f>G1573</f>
        <v>16</v>
      </c>
      <c r="I1573" s="370" t="s">
        <v>557</v>
      </c>
    </row>
    <row r="1574" spans="1:10" ht="13.5" thickBot="1" x14ac:dyDescent="0.25">
      <c r="A1574" s="629"/>
      <c r="B1574" s="192"/>
      <c r="C1574" s="193"/>
      <c r="D1574" s="368"/>
      <c r="E1574" s="368"/>
      <c r="F1574" s="384"/>
      <c r="G1574" s="384"/>
      <c r="H1574" s="368"/>
      <c r="I1574" s="370"/>
    </row>
    <row r="1575" spans="1:10" ht="13.5" thickBot="1" x14ac:dyDescent="0.25">
      <c r="A1575" s="408" t="s">
        <v>652</v>
      </c>
      <c r="B1575" s="699" t="s">
        <v>718</v>
      </c>
      <c r="C1575" s="700"/>
      <c r="D1575" s="700"/>
      <c r="E1575" s="700"/>
      <c r="F1575" s="700"/>
      <c r="G1575" s="701"/>
      <c r="H1575" s="470">
        <f>SUM(H1576:H1578)</f>
        <v>8</v>
      </c>
      <c r="I1575" s="627" t="s">
        <v>557</v>
      </c>
      <c r="J1575" s="10"/>
    </row>
    <row r="1576" spans="1:10" x14ac:dyDescent="0.2">
      <c r="A1576" s="628"/>
      <c r="B1576" s="184"/>
      <c r="C1576" s="185"/>
      <c r="D1576" s="368"/>
      <c r="E1576" s="368"/>
      <c r="F1576" s="513"/>
      <c r="G1576" s="368"/>
      <c r="H1576" s="368"/>
      <c r="I1576" s="370"/>
    </row>
    <row r="1577" spans="1:10" x14ac:dyDescent="0.2">
      <c r="A1577" s="629"/>
      <c r="B1577" s="529" t="s">
        <v>600</v>
      </c>
      <c r="C1577" s="187">
        <v>4</v>
      </c>
      <c r="D1577" s="368"/>
      <c r="E1577" s="368"/>
      <c r="F1577" s="369"/>
      <c r="G1577" s="511">
        <f>C1577</f>
        <v>4</v>
      </c>
      <c r="H1577" s="511">
        <f>G1577</f>
        <v>4</v>
      </c>
      <c r="I1577" s="370" t="s">
        <v>557</v>
      </c>
    </row>
    <row r="1578" spans="1:10" x14ac:dyDescent="0.2">
      <c r="A1578" s="629"/>
      <c r="B1578" s="529" t="s">
        <v>601</v>
      </c>
      <c r="C1578" s="187">
        <v>4</v>
      </c>
      <c r="D1578" s="368"/>
      <c r="E1578" s="368"/>
      <c r="F1578" s="369"/>
      <c r="G1578" s="511">
        <f>C1578</f>
        <v>4</v>
      </c>
      <c r="H1578" s="511">
        <f>G1578</f>
        <v>4</v>
      </c>
      <c r="I1578" s="370" t="s">
        <v>557</v>
      </c>
    </row>
    <row r="1579" spans="1:10" ht="13.5" thickBot="1" x14ac:dyDescent="0.25">
      <c r="A1579" s="629"/>
      <c r="B1579" s="194"/>
      <c r="C1579" s="195"/>
      <c r="D1579" s="368"/>
      <c r="E1579" s="368"/>
      <c r="F1579" s="386"/>
      <c r="G1579" s="384"/>
      <c r="H1579" s="368"/>
      <c r="I1579" s="370"/>
    </row>
    <row r="1580" spans="1:10" ht="13.5" thickBot="1" x14ac:dyDescent="0.25">
      <c r="A1580" s="408" t="s">
        <v>653</v>
      </c>
      <c r="B1580" s="696" t="s">
        <v>547</v>
      </c>
      <c r="C1580" s="697"/>
      <c r="D1580" s="697"/>
      <c r="E1580" s="697"/>
      <c r="F1580" s="697"/>
      <c r="G1580" s="697"/>
      <c r="H1580" s="697"/>
      <c r="I1580" s="698"/>
      <c r="J1580" s="10"/>
    </row>
    <row r="1581" spans="1:10" ht="13.5" thickBot="1" x14ac:dyDescent="0.25">
      <c r="A1581" s="408" t="s">
        <v>654</v>
      </c>
      <c r="B1581" s="699" t="s">
        <v>738</v>
      </c>
      <c r="C1581" s="700"/>
      <c r="D1581" s="700"/>
      <c r="E1581" s="700"/>
      <c r="F1581" s="700"/>
      <c r="G1581" s="701"/>
      <c r="H1581" s="470">
        <f>SUM(H1582:H1584)</f>
        <v>56.78</v>
      </c>
      <c r="I1581" s="627" t="s">
        <v>9</v>
      </c>
      <c r="J1581" s="10"/>
    </row>
    <row r="1582" spans="1:10" x14ac:dyDescent="0.2">
      <c r="A1582" s="630"/>
      <c r="B1582" s="186"/>
      <c r="C1582" s="196"/>
      <c r="D1582" s="368"/>
      <c r="E1582" s="368"/>
      <c r="F1582" s="368"/>
      <c r="G1582" s="368"/>
      <c r="H1582" s="368"/>
      <c r="I1582" s="370"/>
    </row>
    <row r="1583" spans="1:10" x14ac:dyDescent="0.2">
      <c r="A1583" s="630"/>
      <c r="B1583" s="529" t="s">
        <v>605</v>
      </c>
      <c r="C1583" s="187">
        <v>1</v>
      </c>
      <c r="D1583" s="187">
        <v>28.39</v>
      </c>
      <c r="E1583" s="368"/>
      <c r="F1583" s="368"/>
      <c r="G1583" s="368">
        <f>PRODUCT(D1583:F1583)</f>
        <v>28.39</v>
      </c>
      <c r="H1583" s="368">
        <f>G1583*C1583</f>
        <v>28.39</v>
      </c>
      <c r="I1583" s="370" t="s">
        <v>9</v>
      </c>
    </row>
    <row r="1584" spans="1:10" x14ac:dyDescent="0.2">
      <c r="A1584" s="630"/>
      <c r="B1584" s="529" t="s">
        <v>606</v>
      </c>
      <c r="C1584" s="187">
        <v>1</v>
      </c>
      <c r="D1584" s="187">
        <v>28.39</v>
      </c>
      <c r="E1584" s="368"/>
      <c r="F1584" s="368"/>
      <c r="G1584" s="368">
        <f>PRODUCT(D1584:F1584)</f>
        <v>28.39</v>
      </c>
      <c r="H1584" s="368">
        <f>G1584*C1584</f>
        <v>28.39</v>
      </c>
      <c r="I1584" s="370" t="s">
        <v>9</v>
      </c>
    </row>
    <row r="1585" spans="1:10" ht="13.5" thickBot="1" x14ac:dyDescent="0.25">
      <c r="A1585" s="630"/>
      <c r="B1585" s="192"/>
      <c r="C1585" s="189"/>
      <c r="D1585" s="368"/>
      <c r="E1585" s="368"/>
      <c r="F1585" s="384"/>
      <c r="G1585" s="384"/>
      <c r="H1585" s="368"/>
      <c r="I1585" s="370"/>
    </row>
    <row r="1586" spans="1:10" ht="13.5" thickBot="1" x14ac:dyDescent="0.25">
      <c r="A1586" s="408" t="s">
        <v>655</v>
      </c>
      <c r="B1586" s="699" t="s">
        <v>739</v>
      </c>
      <c r="C1586" s="700"/>
      <c r="D1586" s="700"/>
      <c r="E1586" s="700"/>
      <c r="F1586" s="700"/>
      <c r="G1586" s="701"/>
      <c r="H1586" s="470">
        <f>SUM(H1587:H1593)</f>
        <v>21.09</v>
      </c>
      <c r="I1586" s="627" t="s">
        <v>9</v>
      </c>
      <c r="J1586" s="10"/>
    </row>
    <row r="1587" spans="1:10" x14ac:dyDescent="0.2">
      <c r="A1587" s="630"/>
      <c r="B1587" s="530" t="s">
        <v>534</v>
      </c>
      <c r="C1587" s="196"/>
      <c r="D1587" s="368"/>
      <c r="E1587" s="368"/>
      <c r="F1587" s="368"/>
      <c r="G1587" s="368"/>
      <c r="H1587" s="368"/>
      <c r="I1587" s="370"/>
    </row>
    <row r="1588" spans="1:10" x14ac:dyDescent="0.2">
      <c r="A1588" s="630"/>
      <c r="B1588" s="529" t="s">
        <v>607</v>
      </c>
      <c r="C1588" s="187">
        <v>1</v>
      </c>
      <c r="D1588" s="187">
        <v>1.53</v>
      </c>
      <c r="E1588" s="368"/>
      <c r="F1588" s="368"/>
      <c r="G1588" s="368">
        <f t="shared" ref="G1588:G1593" si="92">PRODUCT(D1588:F1588)</f>
        <v>1.53</v>
      </c>
      <c r="H1588" s="368">
        <f t="shared" ref="H1588:H1593" si="93">G1588*C1588</f>
        <v>1.53</v>
      </c>
      <c r="I1588" s="370" t="s">
        <v>9</v>
      </c>
    </row>
    <row r="1589" spans="1:10" x14ac:dyDescent="0.2">
      <c r="A1589" s="630"/>
      <c r="B1589" s="529" t="s">
        <v>608</v>
      </c>
      <c r="C1589" s="187">
        <v>1</v>
      </c>
      <c r="D1589" s="187">
        <v>1.53</v>
      </c>
      <c r="E1589" s="368"/>
      <c r="F1589" s="368"/>
      <c r="G1589" s="368">
        <f t="shared" si="92"/>
        <v>1.53</v>
      </c>
      <c r="H1589" s="368">
        <f t="shared" si="93"/>
        <v>1.53</v>
      </c>
      <c r="I1589" s="370" t="s">
        <v>9</v>
      </c>
    </row>
    <row r="1590" spans="1:10" x14ac:dyDescent="0.2">
      <c r="A1590" s="630"/>
      <c r="B1590" s="529" t="s">
        <v>609</v>
      </c>
      <c r="C1590" s="187">
        <v>1</v>
      </c>
      <c r="D1590" s="187">
        <v>2.95</v>
      </c>
      <c r="E1590" s="368"/>
      <c r="F1590" s="368"/>
      <c r="G1590" s="368">
        <f t="shared" si="92"/>
        <v>2.95</v>
      </c>
      <c r="H1590" s="368">
        <f t="shared" si="93"/>
        <v>2.95</v>
      </c>
      <c r="I1590" s="370" t="s">
        <v>9</v>
      </c>
    </row>
    <row r="1591" spans="1:10" x14ac:dyDescent="0.2">
      <c r="A1591" s="630"/>
      <c r="B1591" s="529" t="s">
        <v>610</v>
      </c>
      <c r="C1591" s="187">
        <v>1</v>
      </c>
      <c r="D1591" s="187">
        <v>2.2599999999999998</v>
      </c>
      <c r="E1591" s="368"/>
      <c r="F1591" s="368"/>
      <c r="G1591" s="368">
        <f t="shared" si="92"/>
        <v>2.2599999999999998</v>
      </c>
      <c r="H1591" s="368">
        <f t="shared" si="93"/>
        <v>2.2599999999999998</v>
      </c>
      <c r="I1591" s="370" t="s">
        <v>9</v>
      </c>
    </row>
    <row r="1592" spans="1:10" x14ac:dyDescent="0.2">
      <c r="A1592" s="630"/>
      <c r="B1592" s="529" t="s">
        <v>611</v>
      </c>
      <c r="C1592" s="187">
        <v>1</v>
      </c>
      <c r="D1592" s="187">
        <v>6.41</v>
      </c>
      <c r="E1592" s="368"/>
      <c r="F1592" s="368"/>
      <c r="G1592" s="368">
        <f t="shared" si="92"/>
        <v>6.41</v>
      </c>
      <c r="H1592" s="368">
        <f t="shared" si="93"/>
        <v>6.41</v>
      </c>
      <c r="I1592" s="370" t="s">
        <v>9</v>
      </c>
    </row>
    <row r="1593" spans="1:10" x14ac:dyDescent="0.2">
      <c r="A1593" s="630"/>
      <c r="B1593" s="529" t="s">
        <v>612</v>
      </c>
      <c r="C1593" s="187">
        <v>1</v>
      </c>
      <c r="D1593" s="187">
        <v>6.41</v>
      </c>
      <c r="E1593" s="368"/>
      <c r="F1593" s="368"/>
      <c r="G1593" s="368">
        <f t="shared" si="92"/>
        <v>6.41</v>
      </c>
      <c r="H1593" s="368">
        <f t="shared" si="93"/>
        <v>6.41</v>
      </c>
      <c r="I1593" s="370" t="s">
        <v>9</v>
      </c>
    </row>
    <row r="1594" spans="1:10" ht="13.5" thickBot="1" x14ac:dyDescent="0.25">
      <c r="A1594" s="630"/>
      <c r="B1594" s="192"/>
      <c r="C1594" s="189"/>
      <c r="D1594" s="368"/>
      <c r="E1594" s="368"/>
      <c r="F1594" s="384"/>
      <c r="G1594" s="384"/>
      <c r="H1594" s="368"/>
      <c r="I1594" s="370"/>
    </row>
    <row r="1595" spans="1:10" ht="13.5" thickBot="1" x14ac:dyDescent="0.25">
      <c r="A1595" s="408" t="s">
        <v>656</v>
      </c>
      <c r="B1595" s="696" t="s">
        <v>548</v>
      </c>
      <c r="C1595" s="697"/>
      <c r="D1595" s="697"/>
      <c r="E1595" s="697"/>
      <c r="F1595" s="697"/>
      <c r="G1595" s="697"/>
      <c r="H1595" s="697"/>
      <c r="I1595" s="698"/>
      <c r="J1595" s="10"/>
    </row>
    <row r="1596" spans="1:10" ht="13.5" thickBot="1" x14ac:dyDescent="0.25">
      <c r="A1596" s="408" t="s">
        <v>657</v>
      </c>
      <c r="B1596" s="699" t="s">
        <v>738</v>
      </c>
      <c r="C1596" s="700"/>
      <c r="D1596" s="700"/>
      <c r="E1596" s="700"/>
      <c r="F1596" s="700"/>
      <c r="G1596" s="701"/>
      <c r="H1596" s="470">
        <f>SUM(H1597:H1599)</f>
        <v>171.26</v>
      </c>
      <c r="I1596" s="627" t="s">
        <v>9</v>
      </c>
      <c r="J1596" s="10"/>
    </row>
    <row r="1597" spans="1:10" x14ac:dyDescent="0.2">
      <c r="A1597" s="628"/>
      <c r="B1597" s="184"/>
      <c r="C1597" s="185"/>
      <c r="D1597" s="368"/>
      <c r="E1597" s="368"/>
      <c r="F1597" s="368"/>
      <c r="G1597" s="368"/>
      <c r="H1597" s="368"/>
      <c r="I1597" s="370"/>
    </row>
    <row r="1598" spans="1:10" x14ac:dyDescent="0.2">
      <c r="A1598" s="630"/>
      <c r="B1598" s="529" t="s">
        <v>613</v>
      </c>
      <c r="C1598" s="187">
        <v>1</v>
      </c>
      <c r="D1598" s="187">
        <v>106.07</v>
      </c>
      <c r="E1598" s="368"/>
      <c r="F1598" s="368"/>
      <c r="G1598" s="368">
        <f>PRODUCT(D1598:F1598)</f>
        <v>106.07</v>
      </c>
      <c r="H1598" s="368">
        <f>G1598*C1598</f>
        <v>106.07</v>
      </c>
      <c r="I1598" s="370" t="s">
        <v>9</v>
      </c>
    </row>
    <row r="1599" spans="1:10" x14ac:dyDescent="0.2">
      <c r="A1599" s="630"/>
      <c r="B1599" s="529" t="s">
        <v>614</v>
      </c>
      <c r="C1599" s="187">
        <v>1</v>
      </c>
      <c r="D1599" s="187">
        <v>65.19</v>
      </c>
      <c r="E1599" s="368"/>
      <c r="F1599" s="368"/>
      <c r="G1599" s="368">
        <f>PRODUCT(D1599:F1599)</f>
        <v>65.19</v>
      </c>
      <c r="H1599" s="368">
        <f>G1599*C1599</f>
        <v>65.19</v>
      </c>
      <c r="I1599" s="370" t="s">
        <v>9</v>
      </c>
    </row>
    <row r="1600" spans="1:10" ht="13.5" thickBot="1" x14ac:dyDescent="0.25">
      <c r="A1600" s="628"/>
      <c r="B1600" s="192"/>
      <c r="C1600" s="189"/>
      <c r="D1600" s="368"/>
      <c r="E1600" s="368"/>
      <c r="F1600" s="384"/>
      <c r="G1600" s="384"/>
      <c r="H1600" s="368"/>
      <c r="I1600" s="370"/>
    </row>
    <row r="1601" spans="1:10" ht="13.5" thickBot="1" x14ac:dyDescent="0.25">
      <c r="A1601" s="408" t="s">
        <v>658</v>
      </c>
      <c r="B1601" s="696" t="s">
        <v>549</v>
      </c>
      <c r="C1601" s="697"/>
      <c r="D1601" s="697"/>
      <c r="E1601" s="697"/>
      <c r="F1601" s="697"/>
      <c r="G1601" s="697"/>
      <c r="H1601" s="697"/>
      <c r="I1601" s="698"/>
      <c r="J1601" s="10"/>
    </row>
    <row r="1602" spans="1:10" ht="13.5" thickBot="1" x14ac:dyDescent="0.25">
      <c r="A1602" s="408" t="s">
        <v>659</v>
      </c>
      <c r="B1602" s="699" t="s">
        <v>721</v>
      </c>
      <c r="C1602" s="700"/>
      <c r="D1602" s="700"/>
      <c r="E1602" s="700"/>
      <c r="F1602" s="700"/>
      <c r="G1602" s="701"/>
      <c r="H1602" s="470">
        <f>SUM(H1603:H1605)</f>
        <v>32</v>
      </c>
      <c r="I1602" s="627" t="s">
        <v>8</v>
      </c>
      <c r="J1602" s="10"/>
    </row>
    <row r="1603" spans="1:10" x14ac:dyDescent="0.2">
      <c r="A1603" s="631"/>
      <c r="B1603" s="200"/>
      <c r="C1603" s="201"/>
      <c r="D1603" s="368"/>
      <c r="E1603" s="368"/>
      <c r="F1603" s="368"/>
      <c r="G1603" s="368"/>
      <c r="H1603" s="368"/>
      <c r="I1603" s="370"/>
    </row>
    <row r="1604" spans="1:10" x14ac:dyDescent="0.2">
      <c r="A1604" s="631"/>
      <c r="B1604" s="529" t="s">
        <v>599</v>
      </c>
      <c r="C1604" s="187">
        <v>32</v>
      </c>
      <c r="D1604" s="187"/>
      <c r="E1604" s="368"/>
      <c r="F1604" s="368"/>
      <c r="G1604" s="511">
        <f>C1604</f>
        <v>32</v>
      </c>
      <c r="H1604" s="511">
        <f>G1604</f>
        <v>32</v>
      </c>
      <c r="I1604" s="370" t="s">
        <v>8</v>
      </c>
    </row>
    <row r="1605" spans="1:10" ht="13.5" thickBot="1" x14ac:dyDescent="0.25">
      <c r="A1605" s="631"/>
      <c r="B1605" s="192"/>
      <c r="C1605" s="187"/>
      <c r="D1605" s="187"/>
      <c r="E1605" s="368"/>
      <c r="F1605" s="384"/>
      <c r="G1605" s="384"/>
      <c r="H1605" s="368"/>
      <c r="I1605" s="370"/>
    </row>
    <row r="1606" spans="1:10" ht="13.5" thickBot="1" x14ac:dyDescent="0.25">
      <c r="A1606" s="408" t="s">
        <v>660</v>
      </c>
      <c r="B1606" s="699" t="s">
        <v>722</v>
      </c>
      <c r="C1606" s="700"/>
      <c r="D1606" s="700"/>
      <c r="E1606" s="700"/>
      <c r="F1606" s="700"/>
      <c r="G1606" s="701"/>
      <c r="H1606" s="470">
        <f>SUM(H1607:H1609)</f>
        <v>12</v>
      </c>
      <c r="I1606" s="627" t="s">
        <v>8</v>
      </c>
      <c r="J1606" s="10"/>
    </row>
    <row r="1607" spans="1:10" x14ac:dyDescent="0.2">
      <c r="A1607" s="631"/>
      <c r="B1607" s="200"/>
      <c r="C1607" s="201"/>
      <c r="D1607" s="368"/>
      <c r="E1607" s="368"/>
      <c r="F1607" s="368"/>
      <c r="G1607" s="368"/>
      <c r="H1607" s="368"/>
      <c r="I1607" s="370"/>
    </row>
    <row r="1608" spans="1:10" x14ac:dyDescent="0.2">
      <c r="A1608" s="631"/>
      <c r="B1608" s="529" t="s">
        <v>615</v>
      </c>
      <c r="C1608" s="187">
        <v>4</v>
      </c>
      <c r="D1608" s="368"/>
      <c r="E1608" s="368"/>
      <c r="F1608" s="368"/>
      <c r="G1608" s="511">
        <f>C1608</f>
        <v>4</v>
      </c>
      <c r="H1608" s="511">
        <f>G1608</f>
        <v>4</v>
      </c>
      <c r="I1608" s="370" t="s">
        <v>8</v>
      </c>
    </row>
    <row r="1609" spans="1:10" x14ac:dyDescent="0.2">
      <c r="A1609" s="631"/>
      <c r="B1609" s="529" t="s">
        <v>601</v>
      </c>
      <c r="C1609" s="187">
        <v>8</v>
      </c>
      <c r="D1609" s="368"/>
      <c r="E1609" s="368"/>
      <c r="F1609" s="368"/>
      <c r="G1609" s="511">
        <f>C1609</f>
        <v>8</v>
      </c>
      <c r="H1609" s="511">
        <f>G1609</f>
        <v>8</v>
      </c>
      <c r="I1609" s="370" t="s">
        <v>8</v>
      </c>
    </row>
    <row r="1610" spans="1:10" ht="13.5" thickBot="1" x14ac:dyDescent="0.25">
      <c r="A1610" s="631"/>
      <c r="B1610" s="188"/>
      <c r="C1610" s="189"/>
      <c r="D1610" s="368"/>
      <c r="E1610" s="368"/>
      <c r="F1610" s="368"/>
      <c r="G1610" s="368"/>
      <c r="H1610" s="368"/>
      <c r="I1610" s="370"/>
    </row>
    <row r="1611" spans="1:10" ht="13.5" thickBot="1" x14ac:dyDescent="0.25">
      <c r="A1611" s="408" t="s">
        <v>661</v>
      </c>
      <c r="B1611" s="699" t="s">
        <v>723</v>
      </c>
      <c r="C1611" s="700"/>
      <c r="D1611" s="700"/>
      <c r="E1611" s="700"/>
      <c r="F1611" s="700"/>
      <c r="G1611" s="701"/>
      <c r="H1611" s="470">
        <f>SUM(H1612:H1614)</f>
        <v>4</v>
      </c>
      <c r="I1611" s="627" t="s">
        <v>8</v>
      </c>
      <c r="J1611" s="10"/>
    </row>
    <row r="1612" spans="1:10" x14ac:dyDescent="0.2">
      <c r="A1612" s="631"/>
      <c r="B1612" s="200"/>
      <c r="C1612" s="201"/>
      <c r="D1612" s="368"/>
      <c r="E1612" s="368"/>
      <c r="F1612" s="368"/>
      <c r="G1612" s="368"/>
      <c r="H1612" s="368"/>
      <c r="I1612" s="370"/>
    </row>
    <row r="1613" spans="1:10" x14ac:dyDescent="0.2">
      <c r="A1613" s="631"/>
      <c r="B1613" s="529" t="s">
        <v>603</v>
      </c>
      <c r="C1613" s="187">
        <v>4</v>
      </c>
      <c r="D1613" s="368"/>
      <c r="E1613" s="368"/>
      <c r="F1613" s="368"/>
      <c r="G1613" s="511">
        <f>C1613</f>
        <v>4</v>
      </c>
      <c r="H1613" s="511">
        <f>G1613</f>
        <v>4</v>
      </c>
      <c r="I1613" s="370" t="s">
        <v>8</v>
      </c>
    </row>
    <row r="1614" spans="1:10" ht="13.5" thickBot="1" x14ac:dyDescent="0.25">
      <c r="A1614" s="631"/>
      <c r="B1614" s="188"/>
      <c r="C1614" s="187"/>
      <c r="D1614" s="368"/>
      <c r="E1614" s="368"/>
      <c r="F1614" s="368"/>
      <c r="G1614" s="368"/>
      <c r="H1614" s="368"/>
      <c r="I1614" s="370"/>
    </row>
    <row r="1615" spans="1:10" ht="13.5" thickBot="1" x14ac:dyDescent="0.25">
      <c r="A1615" s="408" t="s">
        <v>662</v>
      </c>
      <c r="B1615" s="699" t="s">
        <v>724</v>
      </c>
      <c r="C1615" s="700"/>
      <c r="D1615" s="700"/>
      <c r="E1615" s="700"/>
      <c r="F1615" s="700"/>
      <c r="G1615" s="701"/>
      <c r="H1615" s="470">
        <f>SUM(H1616:H1618)</f>
        <v>4</v>
      </c>
      <c r="I1615" s="627" t="s">
        <v>8</v>
      </c>
      <c r="J1615" s="10"/>
    </row>
    <row r="1616" spans="1:10" x14ac:dyDescent="0.2">
      <c r="A1616" s="631"/>
      <c r="B1616" s="202"/>
      <c r="C1616" s="201"/>
      <c r="D1616" s="368"/>
      <c r="E1616" s="368"/>
      <c r="F1616" s="368"/>
      <c r="G1616" s="368"/>
      <c r="H1616" s="368"/>
      <c r="I1616" s="370"/>
    </row>
    <row r="1617" spans="1:10" x14ac:dyDescent="0.2">
      <c r="A1617" s="631"/>
      <c r="B1617" s="529" t="s">
        <v>600</v>
      </c>
      <c r="C1617" s="187">
        <v>4</v>
      </c>
      <c r="D1617" s="368"/>
      <c r="E1617" s="368"/>
      <c r="F1617" s="368"/>
      <c r="G1617" s="511">
        <f>C1617</f>
        <v>4</v>
      </c>
      <c r="H1617" s="511">
        <f>G1617</f>
        <v>4</v>
      </c>
      <c r="I1617" s="370" t="s">
        <v>8</v>
      </c>
    </row>
    <row r="1618" spans="1:10" ht="13.5" thickBot="1" x14ac:dyDescent="0.25">
      <c r="A1618" s="631"/>
      <c r="B1618" s="188"/>
      <c r="C1618" s="189"/>
      <c r="D1618" s="368"/>
      <c r="E1618" s="368"/>
      <c r="F1618" s="368"/>
      <c r="G1618" s="368"/>
      <c r="H1618" s="368"/>
      <c r="I1618" s="370"/>
    </row>
    <row r="1619" spans="1:10" ht="13.5" thickBot="1" x14ac:dyDescent="0.25">
      <c r="A1619" s="408" t="s">
        <v>663</v>
      </c>
      <c r="B1619" s="699" t="s">
        <v>740</v>
      </c>
      <c r="C1619" s="700"/>
      <c r="D1619" s="700"/>
      <c r="E1619" s="700"/>
      <c r="F1619" s="700"/>
      <c r="G1619" s="701"/>
      <c r="H1619" s="470">
        <f>SUM(H1620:H1622)</f>
        <v>4</v>
      </c>
      <c r="I1619" s="627" t="s">
        <v>8</v>
      </c>
      <c r="J1619" s="10"/>
    </row>
    <row r="1620" spans="1:10" x14ac:dyDescent="0.2">
      <c r="A1620" s="631"/>
      <c r="B1620" s="202"/>
      <c r="C1620" s="201"/>
      <c r="D1620" s="368"/>
      <c r="E1620" s="368"/>
      <c r="F1620" s="368"/>
      <c r="G1620" s="368"/>
      <c r="H1620" s="368"/>
      <c r="I1620" s="370"/>
    </row>
    <row r="1621" spans="1:10" x14ac:dyDescent="0.2">
      <c r="A1621" s="631"/>
      <c r="B1621" s="529" t="s">
        <v>616</v>
      </c>
      <c r="C1621" s="187">
        <v>4</v>
      </c>
      <c r="D1621" s="368"/>
      <c r="E1621" s="368"/>
      <c r="F1621" s="368"/>
      <c r="G1621" s="511">
        <f>C1621</f>
        <v>4</v>
      </c>
      <c r="H1621" s="511">
        <f>G1621</f>
        <v>4</v>
      </c>
      <c r="I1621" s="370" t="s">
        <v>8</v>
      </c>
    </row>
    <row r="1622" spans="1:10" ht="13.5" thickBot="1" x14ac:dyDescent="0.25">
      <c r="A1622" s="631"/>
      <c r="B1622" s="188"/>
      <c r="C1622" s="189"/>
      <c r="D1622" s="368"/>
      <c r="E1622" s="368"/>
      <c r="F1622" s="368"/>
      <c r="G1622" s="368"/>
      <c r="H1622" s="368"/>
      <c r="I1622" s="370"/>
    </row>
    <row r="1623" spans="1:10" ht="13.5" thickBot="1" x14ac:dyDescent="0.25">
      <c r="A1623" s="408" t="s">
        <v>664</v>
      </c>
      <c r="B1623" s="699" t="s">
        <v>726</v>
      </c>
      <c r="C1623" s="700"/>
      <c r="D1623" s="700"/>
      <c r="E1623" s="700"/>
      <c r="F1623" s="700"/>
      <c r="G1623" s="701"/>
      <c r="H1623" s="470">
        <f>SUM(H1624:H1626)</f>
        <v>32</v>
      </c>
      <c r="I1623" s="627" t="s">
        <v>8</v>
      </c>
      <c r="J1623" s="10"/>
    </row>
    <row r="1624" spans="1:10" x14ac:dyDescent="0.2">
      <c r="A1624" s="631"/>
      <c r="B1624" s="529"/>
      <c r="C1624" s="201"/>
      <c r="D1624" s="368"/>
      <c r="E1624" s="368"/>
      <c r="F1624" s="368"/>
      <c r="G1624" s="368"/>
      <c r="H1624" s="368"/>
      <c r="I1624" s="370"/>
    </row>
    <row r="1625" spans="1:10" x14ac:dyDescent="0.2">
      <c r="A1625" s="631"/>
      <c r="B1625" s="529" t="s">
        <v>617</v>
      </c>
      <c r="C1625" s="187">
        <v>32</v>
      </c>
      <c r="D1625" s="368"/>
      <c r="E1625" s="368"/>
      <c r="F1625" s="368"/>
      <c r="G1625" s="511">
        <f>C1625</f>
        <v>32</v>
      </c>
      <c r="H1625" s="511">
        <f>G1625</f>
        <v>32</v>
      </c>
      <c r="I1625" s="370" t="s">
        <v>8</v>
      </c>
    </row>
    <row r="1626" spans="1:10" ht="13.5" thickBot="1" x14ac:dyDescent="0.25">
      <c r="A1626" s="631"/>
      <c r="B1626" s="188"/>
      <c r="C1626" s="189"/>
      <c r="D1626" s="368"/>
      <c r="E1626" s="368"/>
      <c r="F1626" s="368"/>
      <c r="G1626" s="368"/>
      <c r="H1626" s="368"/>
      <c r="I1626" s="370"/>
    </row>
    <row r="1627" spans="1:10" ht="13.5" thickBot="1" x14ac:dyDescent="0.25">
      <c r="A1627" s="408" t="s">
        <v>665</v>
      </c>
      <c r="B1627" s="699" t="s">
        <v>727</v>
      </c>
      <c r="C1627" s="700"/>
      <c r="D1627" s="700"/>
      <c r="E1627" s="700"/>
      <c r="F1627" s="700"/>
      <c r="G1627" s="701"/>
      <c r="H1627" s="470">
        <f>SUM(H1628:H1630)</f>
        <v>8</v>
      </c>
      <c r="I1627" s="627" t="s">
        <v>8</v>
      </c>
      <c r="J1627" s="10"/>
    </row>
    <row r="1628" spans="1:10" x14ac:dyDescent="0.2">
      <c r="A1628" s="631"/>
      <c r="B1628" s="202"/>
      <c r="C1628" s="201"/>
      <c r="D1628" s="368"/>
      <c r="E1628" s="368"/>
      <c r="F1628" s="368"/>
      <c r="G1628" s="368"/>
      <c r="H1628" s="368"/>
      <c r="I1628" s="370"/>
    </row>
    <row r="1629" spans="1:10" x14ac:dyDescent="0.2">
      <c r="A1629" s="631"/>
      <c r="B1629" s="529" t="s">
        <v>600</v>
      </c>
      <c r="C1629" s="187">
        <v>4</v>
      </c>
      <c r="D1629" s="368"/>
      <c r="E1629" s="368"/>
      <c r="F1629" s="368"/>
      <c r="G1629" s="511">
        <f>C1629</f>
        <v>4</v>
      </c>
      <c r="H1629" s="511">
        <f>G1629</f>
        <v>4</v>
      </c>
      <c r="I1629" s="370" t="s">
        <v>8</v>
      </c>
    </row>
    <row r="1630" spans="1:10" x14ac:dyDescent="0.2">
      <c r="A1630" s="631"/>
      <c r="B1630" s="529" t="s">
        <v>618</v>
      </c>
      <c r="C1630" s="187">
        <v>4</v>
      </c>
      <c r="D1630" s="368"/>
      <c r="E1630" s="368"/>
      <c r="F1630" s="368"/>
      <c r="G1630" s="511">
        <f>C1630</f>
        <v>4</v>
      </c>
      <c r="H1630" s="511">
        <f>G1630</f>
        <v>4</v>
      </c>
      <c r="I1630" s="370" t="s">
        <v>8</v>
      </c>
    </row>
    <row r="1631" spans="1:10" ht="13.5" thickBot="1" x14ac:dyDescent="0.25">
      <c r="A1631" s="631"/>
      <c r="B1631" s="188"/>
      <c r="C1631" s="189"/>
      <c r="D1631" s="368"/>
      <c r="E1631" s="368"/>
      <c r="F1631" s="368"/>
      <c r="G1631" s="368"/>
      <c r="H1631" s="368"/>
      <c r="I1631" s="370"/>
    </row>
    <row r="1632" spans="1:10" ht="13.5" thickBot="1" x14ac:dyDescent="0.25">
      <c r="A1632" s="408" t="s">
        <v>666</v>
      </c>
      <c r="B1632" s="699" t="s">
        <v>741</v>
      </c>
      <c r="C1632" s="700"/>
      <c r="D1632" s="700"/>
      <c r="E1632" s="700"/>
      <c r="F1632" s="700"/>
      <c r="G1632" s="701"/>
      <c r="H1632" s="470">
        <f>SUM(H1633:H1635)</f>
        <v>4</v>
      </c>
      <c r="I1632" s="627" t="s">
        <v>8</v>
      </c>
      <c r="J1632" s="10"/>
    </row>
    <row r="1633" spans="1:10" x14ac:dyDescent="0.2">
      <c r="A1633" s="631"/>
      <c r="B1633" s="529" t="s">
        <v>534</v>
      </c>
      <c r="C1633" s="201"/>
      <c r="D1633" s="368"/>
      <c r="E1633" s="368"/>
      <c r="F1633" s="368"/>
      <c r="G1633" s="368"/>
      <c r="H1633" s="368"/>
      <c r="I1633" s="370"/>
    </row>
    <row r="1634" spans="1:10" x14ac:dyDescent="0.2">
      <c r="A1634" s="631"/>
      <c r="B1634" s="529" t="s">
        <v>616</v>
      </c>
      <c r="C1634" s="187">
        <v>4</v>
      </c>
      <c r="D1634" s="368"/>
      <c r="E1634" s="368"/>
      <c r="F1634" s="368"/>
      <c r="G1634" s="511">
        <f>C1634</f>
        <v>4</v>
      </c>
      <c r="H1634" s="511">
        <f>G1634</f>
        <v>4</v>
      </c>
      <c r="I1634" s="370" t="s">
        <v>8</v>
      </c>
    </row>
    <row r="1635" spans="1:10" ht="13.5" thickBot="1" x14ac:dyDescent="0.25">
      <c r="A1635" s="631"/>
      <c r="B1635" s="188"/>
      <c r="C1635" s="189"/>
      <c r="D1635" s="368"/>
      <c r="E1635" s="368"/>
      <c r="F1635" s="368"/>
      <c r="G1635" s="368"/>
      <c r="H1635" s="368"/>
      <c r="I1635" s="370"/>
    </row>
    <row r="1636" spans="1:10" ht="13.5" thickBot="1" x14ac:dyDescent="0.25">
      <c r="A1636" s="408" t="s">
        <v>667</v>
      </c>
      <c r="B1636" s="696" t="s">
        <v>554</v>
      </c>
      <c r="C1636" s="697"/>
      <c r="D1636" s="697"/>
      <c r="E1636" s="697"/>
      <c r="F1636" s="697"/>
      <c r="G1636" s="697"/>
      <c r="H1636" s="697"/>
      <c r="I1636" s="698"/>
      <c r="J1636" s="10"/>
    </row>
    <row r="1637" spans="1:10" ht="13.5" thickBot="1" x14ac:dyDescent="0.25">
      <c r="A1637" s="408" t="s">
        <v>668</v>
      </c>
      <c r="B1637" s="699" t="s">
        <v>729</v>
      </c>
      <c r="C1637" s="700"/>
      <c r="D1637" s="700"/>
      <c r="E1637" s="700"/>
      <c r="F1637" s="700"/>
      <c r="G1637" s="701"/>
      <c r="H1637" s="470">
        <f>SUM(H1638:H1640)</f>
        <v>14</v>
      </c>
      <c r="I1637" s="627" t="s">
        <v>8</v>
      </c>
      <c r="J1637" s="10"/>
    </row>
    <row r="1638" spans="1:10" x14ac:dyDescent="0.2">
      <c r="A1638" s="631"/>
      <c r="B1638" s="528" t="s">
        <v>555</v>
      </c>
      <c r="C1638" s="201"/>
      <c r="D1638" s="368"/>
      <c r="E1638" s="368"/>
      <c r="F1638" s="368"/>
      <c r="G1638" s="368"/>
      <c r="H1638" s="368"/>
      <c r="I1638" s="370"/>
    </row>
    <row r="1639" spans="1:10" x14ac:dyDescent="0.2">
      <c r="A1639" s="631"/>
      <c r="B1639" s="529" t="s">
        <v>619</v>
      </c>
      <c r="C1639" s="187">
        <v>14</v>
      </c>
      <c r="D1639" s="368"/>
      <c r="E1639" s="368"/>
      <c r="F1639" s="368"/>
      <c r="G1639" s="511">
        <f>C1639</f>
        <v>14</v>
      </c>
      <c r="H1639" s="511">
        <f>G1639</f>
        <v>14</v>
      </c>
      <c r="I1639" s="370" t="s">
        <v>8</v>
      </c>
    </row>
    <row r="1640" spans="1:10" ht="13.5" thickBot="1" x14ac:dyDescent="0.25">
      <c r="A1640" s="380"/>
      <c r="B1640" s="368"/>
      <c r="C1640" s="368"/>
      <c r="D1640" s="368"/>
      <c r="E1640" s="368"/>
      <c r="F1640" s="368"/>
      <c r="G1640" s="368"/>
      <c r="H1640" s="368"/>
      <c r="I1640" s="370"/>
    </row>
    <row r="1641" spans="1:10" ht="13.5" thickBot="1" x14ac:dyDescent="0.25">
      <c r="A1641" s="408">
        <v>1.07</v>
      </c>
      <c r="B1641" s="696" t="s">
        <v>779</v>
      </c>
      <c r="C1641" s="697"/>
      <c r="D1641" s="697"/>
      <c r="E1641" s="697"/>
      <c r="F1641" s="697"/>
      <c r="G1641" s="697"/>
      <c r="H1641" s="697"/>
      <c r="I1641" s="698"/>
      <c r="J1641" s="10"/>
    </row>
    <row r="1642" spans="1:10" ht="13.5" thickBot="1" x14ac:dyDescent="0.25">
      <c r="A1642" s="408" t="s">
        <v>782</v>
      </c>
      <c r="B1642" s="699" t="s">
        <v>780</v>
      </c>
      <c r="C1642" s="700"/>
      <c r="D1642" s="700"/>
      <c r="E1642" s="700"/>
      <c r="F1642" s="700"/>
      <c r="G1642" s="701"/>
      <c r="H1642" s="470">
        <f>SUM(H1643:H1645)</f>
        <v>1</v>
      </c>
      <c r="I1642" s="627" t="s">
        <v>781</v>
      </c>
      <c r="J1642" s="10"/>
    </row>
    <row r="1643" spans="1:10" x14ac:dyDescent="0.2">
      <c r="A1643" s="631"/>
      <c r="B1643" s="200"/>
      <c r="C1643" s="201"/>
      <c r="D1643" s="368"/>
      <c r="E1643" s="368"/>
      <c r="F1643" s="368"/>
      <c r="G1643" s="368"/>
      <c r="H1643" s="368"/>
      <c r="I1643" s="370"/>
    </row>
    <row r="1644" spans="1:10" x14ac:dyDescent="0.2">
      <c r="A1644" s="631"/>
      <c r="B1644" s="529" t="s">
        <v>780</v>
      </c>
      <c r="C1644" s="187">
        <v>1</v>
      </c>
      <c r="D1644" s="368"/>
      <c r="E1644" s="368"/>
      <c r="F1644" s="368"/>
      <c r="G1644" s="511">
        <f>C1644</f>
        <v>1</v>
      </c>
      <c r="H1644" s="511">
        <f>G1644</f>
        <v>1</v>
      </c>
      <c r="I1644" s="370" t="s">
        <v>781</v>
      </c>
    </row>
    <row r="1645" spans="1:10" ht="13.5" thickBot="1" x14ac:dyDescent="0.25">
      <c r="A1645" s="383"/>
      <c r="B1645" s="384"/>
      <c r="C1645" s="384"/>
      <c r="D1645" s="384"/>
      <c r="E1645" s="384"/>
      <c r="F1645" s="384"/>
      <c r="G1645" s="384"/>
      <c r="H1645" s="384"/>
      <c r="I1645" s="387"/>
    </row>
  </sheetData>
  <mergeCells count="186">
    <mergeCell ref="B1569:I1569"/>
    <mergeCell ref="B1570:G1570"/>
    <mergeCell ref="B1575:G1575"/>
    <mergeCell ref="B1580:I1580"/>
    <mergeCell ref="B1581:G1581"/>
    <mergeCell ref="B1586:G1586"/>
    <mergeCell ref="B1596:G1596"/>
    <mergeCell ref="B1595:I1595"/>
    <mergeCell ref="B1601:I1601"/>
    <mergeCell ref="B1602:G1602"/>
    <mergeCell ref="B1606:G1606"/>
    <mergeCell ref="B1611:G1611"/>
    <mergeCell ref="B1615:G1615"/>
    <mergeCell ref="B1619:G1619"/>
    <mergeCell ref="B1623:G1623"/>
    <mergeCell ref="B1627:G1627"/>
    <mergeCell ref="B1632:G1632"/>
    <mergeCell ref="B1637:G1637"/>
    <mergeCell ref="B1636:I1636"/>
    <mergeCell ref="B1561:G1561"/>
    <mergeCell ref="B1565:G1565"/>
    <mergeCell ref="B1486:I1486"/>
    <mergeCell ref="B1492:I1492"/>
    <mergeCell ref="B1497:I1497"/>
    <mergeCell ref="B1498:I1498"/>
    <mergeCell ref="B1555:I1555"/>
    <mergeCell ref="B1560:I1560"/>
    <mergeCell ref="B1478:I1478"/>
    <mergeCell ref="B1479:I1479"/>
    <mergeCell ref="B1504:G1504"/>
    <mergeCell ref="B1509:G1509"/>
    <mergeCell ref="B1513:G1513"/>
    <mergeCell ref="B1518:G1518"/>
    <mergeCell ref="B1523:G1523"/>
    <mergeCell ref="B1528:G1528"/>
    <mergeCell ref="B1532:G1532"/>
    <mergeCell ref="B1551:G1551"/>
    <mergeCell ref="B1556:G1556"/>
    <mergeCell ref="B1541:G1541"/>
    <mergeCell ref="B1546:G1546"/>
    <mergeCell ref="B1536:G1536"/>
    <mergeCell ref="B1460:I1460"/>
    <mergeCell ref="B1461:I1461"/>
    <mergeCell ref="B1462:G1462"/>
    <mergeCell ref="B1467:G1467"/>
    <mergeCell ref="B1472:G1472"/>
    <mergeCell ref="B1480:G1480"/>
    <mergeCell ref="B1487:G1487"/>
    <mergeCell ref="B1493:G1493"/>
    <mergeCell ref="B1499:G1499"/>
    <mergeCell ref="B1455:G1455"/>
    <mergeCell ref="D794:E794"/>
    <mergeCell ref="D1372:E1372"/>
    <mergeCell ref="D1373:E1373"/>
    <mergeCell ref="D1374:E1374"/>
    <mergeCell ref="D1135:E1135"/>
    <mergeCell ref="D1137:E1137"/>
    <mergeCell ref="D1093:E1093"/>
    <mergeCell ref="D818:E818"/>
    <mergeCell ref="D820:E820"/>
    <mergeCell ref="D810:E810"/>
    <mergeCell ref="D811:E811"/>
    <mergeCell ref="D812:E812"/>
    <mergeCell ref="D801:E801"/>
    <mergeCell ref="D802:E802"/>
    <mergeCell ref="D797:E797"/>
    <mergeCell ref="D799:E799"/>
    <mergeCell ref="D800:E800"/>
    <mergeCell ref="D804:E804"/>
    <mergeCell ref="D807:E807"/>
    <mergeCell ref="C1436:D1436"/>
    <mergeCell ref="C1435:D1435"/>
    <mergeCell ref="D1371:E1371"/>
    <mergeCell ref="A1:I1"/>
    <mergeCell ref="D8:F8"/>
    <mergeCell ref="D27:E27"/>
    <mergeCell ref="D165:E165"/>
    <mergeCell ref="B3:I3"/>
    <mergeCell ref="D164:E164"/>
    <mergeCell ref="D631:E631"/>
    <mergeCell ref="D632:E632"/>
    <mergeCell ref="D633:E633"/>
    <mergeCell ref="D628:E628"/>
    <mergeCell ref="D629:E629"/>
    <mergeCell ref="D630:E630"/>
    <mergeCell ref="D34:E34"/>
    <mergeCell ref="D37:E37"/>
    <mergeCell ref="D92:E92"/>
    <mergeCell ref="D95:E95"/>
    <mergeCell ref="D144:E144"/>
    <mergeCell ref="D145:E145"/>
    <mergeCell ref="D147:E147"/>
    <mergeCell ref="B342:I342"/>
    <mergeCell ref="B347:I347"/>
    <mergeCell ref="B11:I11"/>
    <mergeCell ref="D619:E619"/>
    <mergeCell ref="D620:E620"/>
    <mergeCell ref="D745:E745"/>
    <mergeCell ref="D746:E746"/>
    <mergeCell ref="D740:E740"/>
    <mergeCell ref="D757:E757"/>
    <mergeCell ref="D759:E759"/>
    <mergeCell ref="D773:E773"/>
    <mergeCell ref="D775:E775"/>
    <mergeCell ref="D621:E621"/>
    <mergeCell ref="D622:E622"/>
    <mergeCell ref="D623:E623"/>
    <mergeCell ref="D624:E624"/>
    <mergeCell ref="D625:E625"/>
    <mergeCell ref="D626:E626"/>
    <mergeCell ref="D627:E627"/>
    <mergeCell ref="D652:E652"/>
    <mergeCell ref="D650:E650"/>
    <mergeCell ref="D780:E780"/>
    <mergeCell ref="D731:E731"/>
    <mergeCell ref="D672:E672"/>
    <mergeCell ref="C1434:D1434"/>
    <mergeCell ref="D1092:E1092"/>
    <mergeCell ref="D668:E668"/>
    <mergeCell ref="D669:E669"/>
    <mergeCell ref="D670:E670"/>
    <mergeCell ref="D651:E651"/>
    <mergeCell ref="D790:E790"/>
    <mergeCell ref="D781:E781"/>
    <mergeCell ref="D784:E784"/>
    <mergeCell ref="D786:E786"/>
    <mergeCell ref="D788:E788"/>
    <mergeCell ref="D876:E876"/>
    <mergeCell ref="D873:E873"/>
    <mergeCell ref="D874:E874"/>
    <mergeCell ref="D875:E875"/>
    <mergeCell ref="D726:E726"/>
    <mergeCell ref="D730:E730"/>
    <mergeCell ref="D710:E710"/>
    <mergeCell ref="D712:E712"/>
    <mergeCell ref="D725:E725"/>
    <mergeCell ref="D741:E741"/>
    <mergeCell ref="D156:E156"/>
    <mergeCell ref="D40:E40"/>
    <mergeCell ref="D44:E44"/>
    <mergeCell ref="D70:E70"/>
    <mergeCell ref="D157:E157"/>
    <mergeCell ref="D148:E148"/>
    <mergeCell ref="D153:E153"/>
    <mergeCell ref="D154:E154"/>
    <mergeCell ref="D155:E155"/>
    <mergeCell ref="B255:I255"/>
    <mergeCell ref="B279:I279"/>
    <mergeCell ref="D674:E674"/>
    <mergeCell ref="D676:E676"/>
    <mergeCell ref="D677:E677"/>
    <mergeCell ref="D689:E689"/>
    <mergeCell ref="D691:E691"/>
    <mergeCell ref="D708:E708"/>
    <mergeCell ref="D711:E711"/>
    <mergeCell ref="B297:I297"/>
    <mergeCell ref="B420:I420"/>
    <mergeCell ref="B356:I356"/>
    <mergeCell ref="B367:I367"/>
    <mergeCell ref="B378:I378"/>
    <mergeCell ref="B383:I383"/>
    <mergeCell ref="D634:E634"/>
    <mergeCell ref="B1641:I1641"/>
    <mergeCell ref="B1642:G1642"/>
    <mergeCell ref="B24:I24"/>
    <mergeCell ref="B162:G162"/>
    <mergeCell ref="B167:G167"/>
    <mergeCell ref="B287:I287"/>
    <mergeCell ref="B292:I292"/>
    <mergeCell ref="B184:G184"/>
    <mergeCell ref="B189:G189"/>
    <mergeCell ref="B25:G25"/>
    <mergeCell ref="B194:G194"/>
    <mergeCell ref="B205:G205"/>
    <mergeCell ref="B210:G210"/>
    <mergeCell ref="B214:G214"/>
    <mergeCell ref="B218:G218"/>
    <mergeCell ref="B227:G227"/>
    <mergeCell ref="B232:G232"/>
    <mergeCell ref="B242:G242"/>
    <mergeCell ref="B247:G247"/>
    <mergeCell ref="B251:G251"/>
    <mergeCell ref="B223:G223"/>
    <mergeCell ref="B170:G170"/>
    <mergeCell ref="B176:G176"/>
    <mergeCell ref="B180:G180"/>
  </mergeCells>
  <phoneticPr fontId="13" type="noConversion"/>
  <printOptions horizontalCentered="1"/>
  <pageMargins left="0.56999999999999995" right="0.39370078740157483" top="0.43307086614173229" bottom="0.2" header="0" footer="0"/>
  <pageSetup paperSize="9" scale="69" fitToHeight="0" orientation="portrait" verticalDpi="360" r:id="rId1"/>
  <headerFooter alignWithMargins="0">
    <oddFooter>Página &amp;P</oddFooter>
  </headerFooter>
  <rowBreaks count="17" manualBreakCount="17">
    <brk id="173" max="8" man="1"/>
    <brk id="254" max="8" man="1"/>
    <brk id="333" max="8" man="1"/>
    <brk id="415" max="8" man="1"/>
    <brk id="577" max="8" man="1"/>
    <brk id="741" max="8" man="1"/>
    <brk id="823" max="8" man="1"/>
    <brk id="905" max="8" man="1"/>
    <brk id="987" max="8" man="1"/>
    <brk id="1069" max="8" man="1"/>
    <brk id="1144" max="8" man="1"/>
    <brk id="1226" max="8" man="1"/>
    <brk id="1298" max="8" man="1"/>
    <brk id="1375" max="8" man="1"/>
    <brk id="1454" max="8" man="1"/>
    <brk id="1535" max="8" man="1"/>
    <brk id="1614" max="8" man="1"/>
  </rowBreaks>
  <ignoredErrors>
    <ignoredError sqref="D139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2"/>
  <sheetViews>
    <sheetView topLeftCell="A195" zoomScaleNormal="100" workbookViewId="0">
      <selection activeCell="I234" sqref="I234"/>
    </sheetView>
  </sheetViews>
  <sheetFormatPr baseColWidth="10" defaultRowHeight="12.75" x14ac:dyDescent="0.2"/>
  <sheetData>
    <row r="1" spans="1:15" x14ac:dyDescent="0.2">
      <c r="E1" t="s">
        <v>148</v>
      </c>
      <c r="G1">
        <v>0.45</v>
      </c>
    </row>
    <row r="2" spans="1:15" x14ac:dyDescent="0.2">
      <c r="E2" t="s">
        <v>149</v>
      </c>
      <c r="G2">
        <v>0.15</v>
      </c>
    </row>
    <row r="3" spans="1:15" ht="13.5" thickBot="1" x14ac:dyDescent="0.25"/>
    <row r="4" spans="1:15" x14ac:dyDescent="0.2">
      <c r="A4" s="735" t="s">
        <v>135</v>
      </c>
      <c r="B4" s="736"/>
      <c r="C4" s="737"/>
      <c r="D4" s="735" t="s">
        <v>136</v>
      </c>
      <c r="E4" s="736"/>
      <c r="F4" s="737"/>
      <c r="G4" s="735" t="s">
        <v>137</v>
      </c>
      <c r="H4" s="736"/>
      <c r="I4" s="737"/>
      <c r="J4" s="735" t="s">
        <v>138</v>
      </c>
      <c r="K4" s="736"/>
      <c r="L4" s="737"/>
      <c r="M4" s="735" t="s">
        <v>139</v>
      </c>
      <c r="N4" s="736"/>
      <c r="O4" s="737"/>
    </row>
    <row r="5" spans="1:15" x14ac:dyDescent="0.2">
      <c r="A5" s="50" t="s">
        <v>140</v>
      </c>
      <c r="C5" s="51"/>
      <c r="D5" s="50" t="s">
        <v>140</v>
      </c>
      <c r="F5" s="51"/>
      <c r="G5" s="50" t="s">
        <v>140</v>
      </c>
      <c r="I5" s="51"/>
      <c r="J5" s="50" t="s">
        <v>140</v>
      </c>
      <c r="L5" s="51"/>
      <c r="M5" s="50" t="s">
        <v>140</v>
      </c>
      <c r="O5" s="51"/>
    </row>
    <row r="6" spans="1:15" x14ac:dyDescent="0.2">
      <c r="A6" s="50">
        <v>10.97</v>
      </c>
      <c r="C6" s="51"/>
      <c r="D6" s="50">
        <v>10.8</v>
      </c>
      <c r="F6" s="51"/>
      <c r="G6" s="50">
        <v>10.8</v>
      </c>
      <c r="I6" s="51"/>
      <c r="J6" s="50">
        <v>10.8</v>
      </c>
      <c r="L6" s="51"/>
      <c r="M6" s="50">
        <v>10.1</v>
      </c>
      <c r="O6" s="51"/>
    </row>
    <row r="7" spans="1:15" x14ac:dyDescent="0.2">
      <c r="A7" s="50">
        <v>0.05</v>
      </c>
      <c r="B7" t="s">
        <v>141</v>
      </c>
      <c r="C7" s="51"/>
      <c r="D7" s="50">
        <v>0.05</v>
      </c>
      <c r="E7" t="s">
        <v>141</v>
      </c>
      <c r="F7" s="51"/>
      <c r="G7" s="50">
        <v>0.05</v>
      </c>
      <c r="H7" t="s">
        <v>141</v>
      </c>
      <c r="I7" s="51"/>
      <c r="J7" s="50">
        <v>0.05</v>
      </c>
      <c r="K7" t="s">
        <v>141</v>
      </c>
      <c r="L7" s="51"/>
      <c r="M7" s="50">
        <v>0.05</v>
      </c>
      <c r="N7" t="s">
        <v>141</v>
      </c>
      <c r="O7" s="51"/>
    </row>
    <row r="8" spans="1:15" x14ac:dyDescent="0.2">
      <c r="A8" s="50">
        <f>A6-A7</f>
        <v>10.92</v>
      </c>
      <c r="B8" t="s">
        <v>142</v>
      </c>
      <c r="C8" s="51"/>
      <c r="D8" s="50">
        <f>D6-D7</f>
        <v>10.75</v>
      </c>
      <c r="E8" t="s">
        <v>142</v>
      </c>
      <c r="F8" s="51"/>
      <c r="G8" s="50">
        <f>G6-G7</f>
        <v>10.75</v>
      </c>
      <c r="H8" t="s">
        <v>142</v>
      </c>
      <c r="I8" s="51"/>
      <c r="J8" s="50">
        <f>J6-J7</f>
        <v>10.75</v>
      </c>
      <c r="K8" t="s">
        <v>142</v>
      </c>
      <c r="L8" s="51"/>
      <c r="M8" s="50">
        <f>M6-M7</f>
        <v>10.049999999999999</v>
      </c>
      <c r="N8" t="s">
        <v>142</v>
      </c>
      <c r="O8" s="51"/>
    </row>
    <row r="9" spans="1:15" ht="15.75" thickBot="1" x14ac:dyDescent="0.3">
      <c r="A9" s="52">
        <f>ROUND(A8+G1+G2,1)</f>
        <v>11.5</v>
      </c>
      <c r="B9" s="53"/>
      <c r="C9" s="54"/>
      <c r="D9" s="52">
        <f>ROUND(D8+G1+G2,1)</f>
        <v>11.4</v>
      </c>
      <c r="E9" s="53"/>
      <c r="F9" s="54"/>
      <c r="G9" s="52">
        <f>ROUND(G8+G1+G2,1)</f>
        <v>11.4</v>
      </c>
      <c r="H9" s="53"/>
      <c r="I9" s="54"/>
      <c r="J9" s="52">
        <f>ROUND(J8+G1+G2,1)</f>
        <v>11.4</v>
      </c>
      <c r="K9" s="53"/>
      <c r="L9" s="54"/>
      <c r="M9" s="52">
        <f>M8+G1+G2</f>
        <v>10.649999999999999</v>
      </c>
      <c r="N9" s="53"/>
      <c r="O9" s="54"/>
    </row>
    <row r="10" spans="1:15" ht="13.5" thickBot="1" x14ac:dyDescent="0.25"/>
    <row r="11" spans="1:15" x14ac:dyDescent="0.2">
      <c r="A11" s="735" t="s">
        <v>143</v>
      </c>
      <c r="B11" s="736"/>
      <c r="C11" s="737"/>
      <c r="D11" s="735" t="s">
        <v>144</v>
      </c>
      <c r="E11" s="736"/>
      <c r="F11" s="737"/>
      <c r="G11" s="735" t="s">
        <v>145</v>
      </c>
      <c r="H11" s="736"/>
      <c r="I11" s="737"/>
      <c r="J11" s="735" t="s">
        <v>146</v>
      </c>
      <c r="K11" s="736"/>
      <c r="L11" s="737"/>
      <c r="M11" s="735" t="s">
        <v>147</v>
      </c>
      <c r="N11" s="736"/>
      <c r="O11" s="737"/>
    </row>
    <row r="12" spans="1:15" x14ac:dyDescent="0.2">
      <c r="A12" s="50" t="s">
        <v>140</v>
      </c>
      <c r="C12" s="51"/>
      <c r="D12" s="50" t="s">
        <v>140</v>
      </c>
      <c r="F12" s="51"/>
      <c r="G12" s="50" t="s">
        <v>140</v>
      </c>
      <c r="I12" s="51"/>
      <c r="J12" s="50" t="s">
        <v>140</v>
      </c>
      <c r="L12" s="51"/>
      <c r="M12" s="50" t="s">
        <v>140</v>
      </c>
      <c r="O12" s="51"/>
    </row>
    <row r="13" spans="1:15" x14ac:dyDescent="0.2">
      <c r="A13" s="50">
        <v>10.62</v>
      </c>
      <c r="C13" s="51"/>
      <c r="D13" s="50">
        <v>10.8</v>
      </c>
      <c r="F13" s="51"/>
      <c r="G13" s="50">
        <v>10.8</v>
      </c>
      <c r="I13" s="51"/>
      <c r="J13" s="50">
        <v>10.8</v>
      </c>
      <c r="L13" s="51"/>
      <c r="M13" s="50">
        <v>10.8</v>
      </c>
      <c r="O13" s="51"/>
    </row>
    <row r="14" spans="1:15" x14ac:dyDescent="0.2">
      <c r="A14" s="50">
        <v>0.05</v>
      </c>
      <c r="B14" t="s">
        <v>141</v>
      </c>
      <c r="C14" s="51"/>
      <c r="D14" s="50">
        <v>0.05</v>
      </c>
      <c r="E14" t="s">
        <v>141</v>
      </c>
      <c r="F14" s="51"/>
      <c r="G14" s="50">
        <v>0.05</v>
      </c>
      <c r="H14" t="s">
        <v>141</v>
      </c>
      <c r="I14" s="51"/>
      <c r="J14" s="50">
        <v>0.05</v>
      </c>
      <c r="K14" t="s">
        <v>141</v>
      </c>
      <c r="L14" s="51"/>
      <c r="M14" s="50">
        <v>0.05</v>
      </c>
      <c r="N14" t="s">
        <v>141</v>
      </c>
      <c r="O14" s="51"/>
    </row>
    <row r="15" spans="1:15" x14ac:dyDescent="0.2">
      <c r="A15" s="50">
        <f>A13-A14</f>
        <v>10.569999999999999</v>
      </c>
      <c r="B15" t="s">
        <v>142</v>
      </c>
      <c r="C15" s="51"/>
      <c r="D15" s="50">
        <f>D13-D14</f>
        <v>10.75</v>
      </c>
      <c r="E15" t="s">
        <v>142</v>
      </c>
      <c r="F15" s="51"/>
      <c r="G15" s="50">
        <f>G13-G14</f>
        <v>10.75</v>
      </c>
      <c r="H15" t="s">
        <v>142</v>
      </c>
      <c r="I15" s="51"/>
      <c r="J15" s="50">
        <f>J13-J14</f>
        <v>10.75</v>
      </c>
      <c r="K15" t="s">
        <v>142</v>
      </c>
      <c r="L15" s="51"/>
      <c r="M15" s="50">
        <f>M13-M14</f>
        <v>10.75</v>
      </c>
      <c r="N15" t="s">
        <v>142</v>
      </c>
      <c r="O15" s="51"/>
    </row>
    <row r="16" spans="1:15" ht="15.75" thickBot="1" x14ac:dyDescent="0.3">
      <c r="A16" s="52">
        <f>ROUND(A15+G1+G2,1)</f>
        <v>11.2</v>
      </c>
      <c r="B16" s="53"/>
      <c r="C16" s="54"/>
      <c r="D16" s="52">
        <f>ROUND(D15+G1+G2,1)</f>
        <v>11.4</v>
      </c>
      <c r="E16" s="53"/>
      <c r="F16" s="54"/>
      <c r="G16" s="52">
        <f>ROUND(G15+G1+G2,1)</f>
        <v>11.4</v>
      </c>
      <c r="H16" s="53"/>
      <c r="I16" s="54"/>
      <c r="J16" s="52">
        <f>ROUND(J15+G1+G2,1)</f>
        <v>11.4</v>
      </c>
      <c r="K16" s="53"/>
      <c r="L16" s="54"/>
      <c r="M16" s="52">
        <f>M15+G1+G2</f>
        <v>11.35</v>
      </c>
      <c r="N16" s="53"/>
      <c r="O16" s="54"/>
    </row>
    <row r="17" spans="1:15" ht="13.5" thickBot="1" x14ac:dyDescent="0.25"/>
    <row r="18" spans="1:15" ht="15.75" thickBot="1" x14ac:dyDescent="0.3">
      <c r="A18" s="55" t="s">
        <v>150</v>
      </c>
      <c r="B18" s="56"/>
      <c r="C18" s="57">
        <f>A9+D9+G9+J9+M9+A16+D16+G16+J16+M16</f>
        <v>113.10000000000001</v>
      </c>
    </row>
    <row r="20" spans="1:15" x14ac:dyDescent="0.2">
      <c r="E20" t="s">
        <v>148</v>
      </c>
      <c r="G20">
        <v>0.45</v>
      </c>
    </row>
    <row r="21" spans="1:15" x14ac:dyDescent="0.2">
      <c r="E21" t="s">
        <v>149</v>
      </c>
      <c r="G21">
        <v>0.15</v>
      </c>
    </row>
    <row r="22" spans="1:15" ht="13.5" thickBot="1" x14ac:dyDescent="0.25"/>
    <row r="23" spans="1:15" x14ac:dyDescent="0.2">
      <c r="A23" s="735" t="s">
        <v>135</v>
      </c>
      <c r="B23" s="736"/>
      <c r="C23" s="737"/>
      <c r="D23" s="735" t="s">
        <v>136</v>
      </c>
      <c r="E23" s="736"/>
      <c r="F23" s="737"/>
      <c r="G23" s="735" t="s">
        <v>137</v>
      </c>
      <c r="H23" s="736"/>
      <c r="I23" s="737"/>
      <c r="J23" s="735" t="s">
        <v>138</v>
      </c>
      <c r="K23" s="736"/>
      <c r="L23" s="737"/>
      <c r="M23" s="735" t="s">
        <v>139</v>
      </c>
      <c r="N23" s="736"/>
      <c r="O23" s="737"/>
    </row>
    <row r="24" spans="1:15" x14ac:dyDescent="0.2">
      <c r="A24" s="50" t="s">
        <v>140</v>
      </c>
      <c r="C24" s="51"/>
      <c r="D24" s="50" t="s">
        <v>140</v>
      </c>
      <c r="F24" s="51"/>
      <c r="G24" s="50" t="s">
        <v>140</v>
      </c>
      <c r="I24" s="51"/>
      <c r="J24" s="50" t="s">
        <v>140</v>
      </c>
      <c r="L24" s="51"/>
      <c r="M24" s="50" t="s">
        <v>140</v>
      </c>
      <c r="O24" s="51"/>
    </row>
    <row r="25" spans="1:15" x14ac:dyDescent="0.2">
      <c r="A25" s="50">
        <v>10.8</v>
      </c>
      <c r="C25" s="51"/>
      <c r="D25" s="50">
        <v>3.39</v>
      </c>
      <c r="F25" s="51"/>
      <c r="G25" s="50">
        <v>10.8</v>
      </c>
      <c r="I25" s="51"/>
      <c r="J25" s="50">
        <v>0</v>
      </c>
      <c r="L25" s="51"/>
      <c r="M25" s="50">
        <v>10.1</v>
      </c>
      <c r="O25" s="51"/>
    </row>
    <row r="26" spans="1:15" x14ac:dyDescent="0.2">
      <c r="A26" s="50">
        <v>0.05</v>
      </c>
      <c r="B26" t="s">
        <v>141</v>
      </c>
      <c r="C26" s="51"/>
      <c r="D26" s="50">
        <v>0.05</v>
      </c>
      <c r="E26" t="s">
        <v>141</v>
      </c>
      <c r="F26" s="51"/>
      <c r="G26" s="50">
        <v>0.05</v>
      </c>
      <c r="H26" t="s">
        <v>141</v>
      </c>
      <c r="I26" s="51"/>
      <c r="J26" s="50">
        <v>0.05</v>
      </c>
      <c r="K26" t="s">
        <v>141</v>
      </c>
      <c r="L26" s="51"/>
      <c r="M26" s="50">
        <v>0.05</v>
      </c>
      <c r="N26" t="s">
        <v>141</v>
      </c>
      <c r="O26" s="51"/>
    </row>
    <row r="27" spans="1:15" x14ac:dyDescent="0.2">
      <c r="A27" s="50">
        <f>A25-A26</f>
        <v>10.75</v>
      </c>
      <c r="B27" t="s">
        <v>142</v>
      </c>
      <c r="C27" s="51"/>
      <c r="D27" s="50">
        <f>D25-D26</f>
        <v>3.3400000000000003</v>
      </c>
      <c r="E27" t="s">
        <v>142</v>
      </c>
      <c r="F27" s="51"/>
      <c r="G27" s="50">
        <f>G25-G26</f>
        <v>10.75</v>
      </c>
      <c r="H27" t="s">
        <v>142</v>
      </c>
      <c r="I27" s="51"/>
      <c r="J27" s="50">
        <f>J25-J26</f>
        <v>-0.05</v>
      </c>
      <c r="K27" t="s">
        <v>142</v>
      </c>
      <c r="L27" s="51"/>
      <c r="M27" s="50">
        <f>M25-M26</f>
        <v>10.049999999999999</v>
      </c>
      <c r="N27" t="s">
        <v>142</v>
      </c>
      <c r="O27" s="51"/>
    </row>
    <row r="28" spans="1:15" ht="15.75" thickBot="1" x14ac:dyDescent="0.3">
      <c r="A28" s="52">
        <f>ROUND(A27+G20+G21,1)</f>
        <v>11.4</v>
      </c>
      <c r="B28" s="53"/>
      <c r="C28" s="54"/>
      <c r="D28" s="52">
        <f>ROUND(D27+G21,1)</f>
        <v>3.5</v>
      </c>
      <c r="E28" s="53"/>
      <c r="F28" s="54"/>
      <c r="G28" s="52">
        <f>ROUND(G27+G20+G21,1)</f>
        <v>11.4</v>
      </c>
      <c r="H28" s="53"/>
      <c r="I28" s="54"/>
      <c r="J28" s="52">
        <v>0</v>
      </c>
      <c r="K28" s="53"/>
      <c r="L28" s="54"/>
      <c r="M28" s="52">
        <v>0</v>
      </c>
      <c r="N28" s="53"/>
      <c r="O28" s="54"/>
    </row>
    <row r="29" spans="1:15" ht="13.5" thickBot="1" x14ac:dyDescent="0.25"/>
    <row r="30" spans="1:15" x14ac:dyDescent="0.2">
      <c r="A30" s="735" t="s">
        <v>143</v>
      </c>
      <c r="B30" s="736"/>
      <c r="C30" s="737"/>
      <c r="D30" s="735" t="s">
        <v>144</v>
      </c>
      <c r="E30" s="736"/>
      <c r="F30" s="737"/>
      <c r="G30" s="735" t="s">
        <v>145</v>
      </c>
      <c r="H30" s="736"/>
      <c r="I30" s="737"/>
      <c r="J30" s="735" t="s">
        <v>146</v>
      </c>
      <c r="K30" s="736"/>
      <c r="L30" s="737"/>
      <c r="M30" s="735" t="s">
        <v>147</v>
      </c>
      <c r="N30" s="736"/>
      <c r="O30" s="737"/>
    </row>
    <row r="31" spans="1:15" x14ac:dyDescent="0.2">
      <c r="A31" s="50" t="s">
        <v>140</v>
      </c>
      <c r="C31" s="51"/>
      <c r="D31" s="50" t="s">
        <v>140</v>
      </c>
      <c r="F31" s="51"/>
      <c r="G31" s="50" t="s">
        <v>140</v>
      </c>
      <c r="I31" s="51"/>
      <c r="J31" s="50" t="s">
        <v>140</v>
      </c>
      <c r="L31" s="51"/>
      <c r="M31" s="50" t="s">
        <v>140</v>
      </c>
      <c r="O31" s="51"/>
    </row>
    <row r="32" spans="1:15" x14ac:dyDescent="0.2">
      <c r="A32" s="50">
        <v>10.62</v>
      </c>
      <c r="C32" s="51"/>
      <c r="D32" s="50">
        <v>10.8</v>
      </c>
      <c r="F32" s="51"/>
      <c r="G32" s="50">
        <v>10.8</v>
      </c>
      <c r="I32" s="51"/>
      <c r="J32" s="50">
        <v>10.8</v>
      </c>
      <c r="L32" s="51"/>
      <c r="M32" s="50">
        <v>10.8</v>
      </c>
      <c r="O32" s="51"/>
    </row>
    <row r="33" spans="1:15" x14ac:dyDescent="0.2">
      <c r="A33" s="50">
        <v>0.05</v>
      </c>
      <c r="B33" t="s">
        <v>141</v>
      </c>
      <c r="C33" s="51"/>
      <c r="D33" s="50">
        <v>0.05</v>
      </c>
      <c r="E33" t="s">
        <v>141</v>
      </c>
      <c r="F33" s="51"/>
      <c r="G33" s="50">
        <v>0.05</v>
      </c>
      <c r="H33" t="s">
        <v>141</v>
      </c>
      <c r="I33" s="51"/>
      <c r="J33" s="50">
        <v>0.05</v>
      </c>
      <c r="K33" t="s">
        <v>141</v>
      </c>
      <c r="L33" s="51"/>
      <c r="M33" s="50">
        <v>0.05</v>
      </c>
      <c r="N33" t="s">
        <v>141</v>
      </c>
      <c r="O33" s="51"/>
    </row>
    <row r="34" spans="1:15" x14ac:dyDescent="0.2">
      <c r="A34" s="50">
        <f>A32-A33</f>
        <v>10.569999999999999</v>
      </c>
      <c r="B34" t="s">
        <v>142</v>
      </c>
      <c r="C34" s="51"/>
      <c r="D34" s="50">
        <f>D32-D33</f>
        <v>10.75</v>
      </c>
      <c r="E34" t="s">
        <v>142</v>
      </c>
      <c r="F34" s="51"/>
      <c r="G34" s="50">
        <f>G32-G33</f>
        <v>10.75</v>
      </c>
      <c r="H34" t="s">
        <v>142</v>
      </c>
      <c r="I34" s="51"/>
      <c r="J34" s="50">
        <f>J32-J33</f>
        <v>10.75</v>
      </c>
      <c r="K34" t="s">
        <v>142</v>
      </c>
      <c r="L34" s="51"/>
      <c r="M34" s="50">
        <f>M32-M33</f>
        <v>10.75</v>
      </c>
      <c r="N34" t="s">
        <v>142</v>
      </c>
      <c r="O34" s="51"/>
    </row>
    <row r="35" spans="1:15" ht="15.75" thickBot="1" x14ac:dyDescent="0.3">
      <c r="A35" s="52">
        <v>0</v>
      </c>
      <c r="B35" s="53"/>
      <c r="C35" s="54"/>
      <c r="D35" s="52">
        <v>0</v>
      </c>
      <c r="E35" s="53"/>
      <c r="F35" s="54"/>
      <c r="G35" s="52">
        <v>0</v>
      </c>
      <c r="H35" s="53"/>
      <c r="I35" s="54"/>
      <c r="J35" s="52">
        <v>0</v>
      </c>
      <c r="K35" s="53"/>
      <c r="L35" s="54"/>
      <c r="M35" s="52">
        <v>0</v>
      </c>
      <c r="N35" s="53"/>
      <c r="O35" s="54"/>
    </row>
    <row r="36" spans="1:15" ht="13.5" thickBot="1" x14ac:dyDescent="0.25"/>
    <row r="37" spans="1:15" ht="15.75" thickBot="1" x14ac:dyDescent="0.3">
      <c r="A37" s="55" t="s">
        <v>150</v>
      </c>
      <c r="B37" s="56"/>
      <c r="C37" s="57">
        <f>A28+D28+G28+J28+M28+A35+D35+G35+J35+M35</f>
        <v>26.3</v>
      </c>
    </row>
    <row r="40" spans="1:15" x14ac:dyDescent="0.2">
      <c r="E40" t="s">
        <v>148</v>
      </c>
      <c r="G40">
        <v>0.45</v>
      </c>
    </row>
    <row r="41" spans="1:15" x14ac:dyDescent="0.2">
      <c r="E41" t="s">
        <v>149</v>
      </c>
      <c r="G41">
        <v>0.15</v>
      </c>
    </row>
    <row r="42" spans="1:15" ht="13.5" thickBot="1" x14ac:dyDescent="0.25"/>
    <row r="43" spans="1:15" x14ac:dyDescent="0.2">
      <c r="A43" s="735" t="s">
        <v>135</v>
      </c>
      <c r="B43" s="736"/>
      <c r="C43" s="737"/>
      <c r="D43" s="735" t="s">
        <v>136</v>
      </c>
      <c r="E43" s="736"/>
      <c r="F43" s="737"/>
      <c r="G43" s="735" t="s">
        <v>137</v>
      </c>
      <c r="H43" s="736"/>
      <c r="I43" s="737"/>
      <c r="J43" s="735" t="s">
        <v>138</v>
      </c>
      <c r="K43" s="736"/>
      <c r="L43" s="737"/>
      <c r="M43" s="735" t="s">
        <v>139</v>
      </c>
      <c r="N43" s="736"/>
      <c r="O43" s="737"/>
    </row>
    <row r="44" spans="1:15" x14ac:dyDescent="0.2">
      <c r="A44" s="50" t="s">
        <v>140</v>
      </c>
      <c r="C44" s="51"/>
      <c r="D44" s="50" t="s">
        <v>140</v>
      </c>
      <c r="F44" s="51"/>
      <c r="G44" s="50" t="s">
        <v>140</v>
      </c>
      <c r="I44" s="51"/>
      <c r="J44" s="50" t="s">
        <v>140</v>
      </c>
      <c r="L44" s="51"/>
      <c r="M44" s="50" t="s">
        <v>140</v>
      </c>
      <c r="O44" s="51"/>
    </row>
    <row r="45" spans="1:15" x14ac:dyDescent="0.2">
      <c r="A45" s="50">
        <v>9.23</v>
      </c>
      <c r="C45" s="51"/>
      <c r="D45" s="50">
        <v>10.7</v>
      </c>
      <c r="F45" s="51"/>
      <c r="G45" s="50">
        <v>0</v>
      </c>
      <c r="I45" s="51"/>
      <c r="J45" s="50">
        <v>0</v>
      </c>
      <c r="L45" s="51"/>
      <c r="M45" s="50">
        <v>10.1</v>
      </c>
      <c r="O45" s="51"/>
    </row>
    <row r="46" spans="1:15" x14ac:dyDescent="0.2">
      <c r="A46" s="50">
        <v>0.05</v>
      </c>
      <c r="B46" t="s">
        <v>141</v>
      </c>
      <c r="C46" s="51"/>
      <c r="D46" s="50">
        <v>0.05</v>
      </c>
      <c r="E46" t="s">
        <v>141</v>
      </c>
      <c r="F46" s="51"/>
      <c r="G46" s="50">
        <v>0.05</v>
      </c>
      <c r="H46" t="s">
        <v>141</v>
      </c>
      <c r="I46" s="51"/>
      <c r="J46" s="50">
        <v>0.05</v>
      </c>
      <c r="K46" t="s">
        <v>141</v>
      </c>
      <c r="L46" s="51"/>
      <c r="M46" s="50">
        <v>0.05</v>
      </c>
      <c r="N46" t="s">
        <v>141</v>
      </c>
      <c r="O46" s="51"/>
    </row>
    <row r="47" spans="1:15" x14ac:dyDescent="0.2">
      <c r="A47" s="50">
        <f>A45-A46</f>
        <v>9.18</v>
      </c>
      <c r="B47" t="s">
        <v>142</v>
      </c>
      <c r="C47" s="51"/>
      <c r="D47" s="50">
        <f>D45-D46</f>
        <v>10.649999999999999</v>
      </c>
      <c r="E47" t="s">
        <v>142</v>
      </c>
      <c r="F47" s="51"/>
      <c r="G47" s="50">
        <f>G45-G46</f>
        <v>-0.05</v>
      </c>
      <c r="H47" t="s">
        <v>142</v>
      </c>
      <c r="I47" s="51"/>
      <c r="J47" s="50">
        <f>J45-J46</f>
        <v>-0.05</v>
      </c>
      <c r="K47" t="s">
        <v>142</v>
      </c>
      <c r="L47" s="51"/>
      <c r="M47" s="50">
        <f>M45-M46</f>
        <v>10.049999999999999</v>
      </c>
      <c r="N47" t="s">
        <v>142</v>
      </c>
      <c r="O47" s="51"/>
    </row>
    <row r="48" spans="1:15" ht="15.75" thickBot="1" x14ac:dyDescent="0.3">
      <c r="A48" s="52">
        <f>ROUND(A47+G40+G41,1)</f>
        <v>9.8000000000000007</v>
      </c>
      <c r="B48" s="53"/>
      <c r="C48" s="54"/>
      <c r="D48" s="52">
        <f>ROUND(D47+G40+G41,1)</f>
        <v>11.3</v>
      </c>
      <c r="E48" s="53"/>
      <c r="F48" s="54"/>
      <c r="G48" s="52">
        <v>0</v>
      </c>
      <c r="H48" s="53"/>
      <c r="I48" s="54"/>
      <c r="J48" s="52">
        <v>0</v>
      </c>
      <c r="K48" s="53"/>
      <c r="L48" s="54"/>
      <c r="M48" s="52">
        <v>0</v>
      </c>
      <c r="N48" s="53"/>
      <c r="O48" s="54"/>
    </row>
    <row r="49" spans="1:15" ht="13.5" thickBot="1" x14ac:dyDescent="0.25"/>
    <row r="50" spans="1:15" x14ac:dyDescent="0.2">
      <c r="A50" s="735" t="s">
        <v>143</v>
      </c>
      <c r="B50" s="736"/>
      <c r="C50" s="737"/>
      <c r="D50" s="735" t="s">
        <v>144</v>
      </c>
      <c r="E50" s="736"/>
      <c r="F50" s="737"/>
      <c r="G50" s="735" t="s">
        <v>145</v>
      </c>
      <c r="H50" s="736"/>
      <c r="I50" s="737"/>
      <c r="J50" s="735" t="s">
        <v>146</v>
      </c>
      <c r="K50" s="736"/>
      <c r="L50" s="737"/>
      <c r="M50" s="735" t="s">
        <v>147</v>
      </c>
      <c r="N50" s="736"/>
      <c r="O50" s="737"/>
    </row>
    <row r="51" spans="1:15" x14ac:dyDescent="0.2">
      <c r="A51" s="50" t="s">
        <v>140</v>
      </c>
      <c r="C51" s="51"/>
      <c r="D51" s="50" t="s">
        <v>140</v>
      </c>
      <c r="F51" s="51"/>
      <c r="G51" s="50" t="s">
        <v>140</v>
      </c>
      <c r="I51" s="51"/>
      <c r="J51" s="50" t="s">
        <v>140</v>
      </c>
      <c r="L51" s="51"/>
      <c r="M51" s="50" t="s">
        <v>140</v>
      </c>
      <c r="O51" s="51"/>
    </row>
    <row r="52" spans="1:15" x14ac:dyDescent="0.2">
      <c r="A52" s="50">
        <v>10.62</v>
      </c>
      <c r="C52" s="51"/>
      <c r="D52" s="50">
        <v>10.8</v>
      </c>
      <c r="F52" s="51"/>
      <c r="G52" s="50">
        <v>10.8</v>
      </c>
      <c r="I52" s="51"/>
      <c r="J52" s="50">
        <v>10.8</v>
      </c>
      <c r="L52" s="51"/>
      <c r="M52" s="50">
        <v>10.8</v>
      </c>
      <c r="O52" s="51"/>
    </row>
    <row r="53" spans="1:15" x14ac:dyDescent="0.2">
      <c r="A53" s="50">
        <v>0.05</v>
      </c>
      <c r="B53" t="s">
        <v>141</v>
      </c>
      <c r="C53" s="51"/>
      <c r="D53" s="50">
        <v>0.05</v>
      </c>
      <c r="E53" t="s">
        <v>141</v>
      </c>
      <c r="F53" s="51"/>
      <c r="G53" s="50">
        <v>0.05</v>
      </c>
      <c r="H53" t="s">
        <v>141</v>
      </c>
      <c r="I53" s="51"/>
      <c r="J53" s="50">
        <v>0.05</v>
      </c>
      <c r="K53" t="s">
        <v>141</v>
      </c>
      <c r="L53" s="51"/>
      <c r="M53" s="50">
        <v>0.05</v>
      </c>
      <c r="N53" t="s">
        <v>141</v>
      </c>
      <c r="O53" s="51"/>
    </row>
    <row r="54" spans="1:15" x14ac:dyDescent="0.2">
      <c r="A54" s="50">
        <f>A52-A53</f>
        <v>10.569999999999999</v>
      </c>
      <c r="B54" t="s">
        <v>142</v>
      </c>
      <c r="C54" s="51"/>
      <c r="D54" s="50">
        <f>D52-D53</f>
        <v>10.75</v>
      </c>
      <c r="E54" t="s">
        <v>142</v>
      </c>
      <c r="F54" s="51"/>
      <c r="G54" s="50">
        <f>G52-G53</f>
        <v>10.75</v>
      </c>
      <c r="H54" t="s">
        <v>142</v>
      </c>
      <c r="I54" s="51"/>
      <c r="J54" s="50">
        <f>J52-J53</f>
        <v>10.75</v>
      </c>
      <c r="K54" t="s">
        <v>142</v>
      </c>
      <c r="L54" s="51"/>
      <c r="M54" s="50">
        <f>M52-M53</f>
        <v>10.75</v>
      </c>
      <c r="N54" t="s">
        <v>142</v>
      </c>
      <c r="O54" s="51"/>
    </row>
    <row r="55" spans="1:15" ht="15.75" thickBot="1" x14ac:dyDescent="0.3">
      <c r="A55" s="52">
        <v>0</v>
      </c>
      <c r="B55" s="53"/>
      <c r="C55" s="54"/>
      <c r="D55" s="52">
        <v>0</v>
      </c>
      <c r="E55" s="53"/>
      <c r="F55" s="54"/>
      <c r="G55" s="52">
        <v>0</v>
      </c>
      <c r="H55" s="53"/>
      <c r="I55" s="54"/>
      <c r="J55" s="52">
        <v>0</v>
      </c>
      <c r="K55" s="53"/>
      <c r="L55" s="54"/>
      <c r="M55" s="52">
        <v>0</v>
      </c>
      <c r="N55" s="53"/>
      <c r="O55" s="54"/>
    </row>
    <row r="56" spans="1:15" ht="13.5" thickBot="1" x14ac:dyDescent="0.25"/>
    <row r="57" spans="1:15" ht="15.75" thickBot="1" x14ac:dyDescent="0.3">
      <c r="A57" s="55" t="s">
        <v>150</v>
      </c>
      <c r="B57" s="56"/>
      <c r="C57" s="57">
        <f>A48+D48+G48+J48+M48+A55+D55+G55+J55+M55</f>
        <v>21.1</v>
      </c>
    </row>
    <row r="60" spans="1:15" x14ac:dyDescent="0.2">
      <c r="E60" t="s">
        <v>148</v>
      </c>
      <c r="G60">
        <v>0.45</v>
      </c>
    </row>
    <row r="61" spans="1:15" x14ac:dyDescent="0.2">
      <c r="E61" t="s">
        <v>149</v>
      </c>
      <c r="G61">
        <v>0.15</v>
      </c>
    </row>
    <row r="62" spans="1:15" ht="13.5" thickBot="1" x14ac:dyDescent="0.25"/>
    <row r="63" spans="1:15" x14ac:dyDescent="0.2">
      <c r="A63" s="735" t="s">
        <v>135</v>
      </c>
      <c r="B63" s="736"/>
      <c r="C63" s="737"/>
      <c r="D63" s="735" t="s">
        <v>136</v>
      </c>
      <c r="E63" s="736"/>
      <c r="F63" s="737"/>
      <c r="G63" s="735" t="s">
        <v>137</v>
      </c>
      <c r="H63" s="736"/>
      <c r="I63" s="737"/>
      <c r="J63" s="735" t="s">
        <v>138</v>
      </c>
      <c r="K63" s="736"/>
      <c r="L63" s="737"/>
      <c r="M63" s="735" t="s">
        <v>139</v>
      </c>
      <c r="N63" s="736"/>
      <c r="O63" s="737"/>
    </row>
    <row r="64" spans="1:15" x14ac:dyDescent="0.2">
      <c r="A64" s="50" t="s">
        <v>140</v>
      </c>
      <c r="C64" s="51"/>
      <c r="D64" s="50" t="s">
        <v>140</v>
      </c>
      <c r="F64" s="51"/>
      <c r="G64" s="50" t="s">
        <v>140</v>
      </c>
      <c r="I64" s="51"/>
      <c r="J64" s="50" t="s">
        <v>140</v>
      </c>
      <c r="L64" s="51"/>
      <c r="M64" s="50" t="s">
        <v>140</v>
      </c>
      <c r="O64" s="51"/>
    </row>
    <row r="65" spans="1:15" x14ac:dyDescent="0.2">
      <c r="A65" s="50">
        <v>10.8</v>
      </c>
      <c r="C65" s="51"/>
      <c r="D65" s="50">
        <v>10.8</v>
      </c>
      <c r="F65" s="51"/>
      <c r="G65" s="50">
        <v>5.29</v>
      </c>
      <c r="I65" s="51"/>
      <c r="J65" s="50">
        <v>0</v>
      </c>
      <c r="L65" s="51"/>
      <c r="M65" s="50">
        <v>10.1</v>
      </c>
      <c r="O65" s="51"/>
    </row>
    <row r="66" spans="1:15" x14ac:dyDescent="0.2">
      <c r="A66" s="50">
        <v>0.05</v>
      </c>
      <c r="B66" t="s">
        <v>141</v>
      </c>
      <c r="C66" s="51"/>
      <c r="D66" s="50">
        <v>0.05</v>
      </c>
      <c r="E66" t="s">
        <v>141</v>
      </c>
      <c r="F66" s="51"/>
      <c r="G66" s="50">
        <v>0.05</v>
      </c>
      <c r="H66" t="s">
        <v>141</v>
      </c>
      <c r="I66" s="51"/>
      <c r="J66" s="50">
        <v>0.05</v>
      </c>
      <c r="K66" t="s">
        <v>141</v>
      </c>
      <c r="L66" s="51"/>
      <c r="M66" s="50">
        <v>0.05</v>
      </c>
      <c r="N66" t="s">
        <v>141</v>
      </c>
      <c r="O66" s="51"/>
    </row>
    <row r="67" spans="1:15" x14ac:dyDescent="0.2">
      <c r="A67" s="50">
        <f>A65-A66</f>
        <v>10.75</v>
      </c>
      <c r="B67" t="s">
        <v>142</v>
      </c>
      <c r="C67" s="51"/>
      <c r="D67" s="50">
        <f>D65-D66</f>
        <v>10.75</v>
      </c>
      <c r="E67" t="s">
        <v>142</v>
      </c>
      <c r="F67" s="51"/>
      <c r="G67" s="50">
        <f>G65-G66</f>
        <v>5.24</v>
      </c>
      <c r="H67" t="s">
        <v>142</v>
      </c>
      <c r="I67" s="51"/>
      <c r="J67" s="50">
        <f>J65-J66</f>
        <v>-0.05</v>
      </c>
      <c r="K67" t="s">
        <v>142</v>
      </c>
      <c r="L67" s="51"/>
      <c r="M67" s="50">
        <f>M65-M66</f>
        <v>10.049999999999999</v>
      </c>
      <c r="N67" t="s">
        <v>142</v>
      </c>
      <c r="O67" s="51"/>
    </row>
    <row r="68" spans="1:15" ht="15.75" thickBot="1" x14ac:dyDescent="0.3">
      <c r="A68" s="52">
        <f>ROUND(A67+G60+G61,1)</f>
        <v>11.4</v>
      </c>
      <c r="B68" s="53"/>
      <c r="C68" s="54"/>
      <c r="D68" s="52">
        <f>ROUND(D67+G60+G61,1)</f>
        <v>11.4</v>
      </c>
      <c r="E68" s="53"/>
      <c r="F68" s="54"/>
      <c r="G68" s="52">
        <f>ROUND(G67+G61,1)</f>
        <v>5.4</v>
      </c>
      <c r="H68" s="53"/>
      <c r="I68" s="54"/>
      <c r="J68" s="52">
        <v>0</v>
      </c>
      <c r="K68" s="53"/>
      <c r="L68" s="54"/>
      <c r="M68" s="52">
        <v>0</v>
      </c>
      <c r="N68" s="53"/>
      <c r="O68" s="54"/>
    </row>
    <row r="69" spans="1:15" ht="13.5" thickBot="1" x14ac:dyDescent="0.25"/>
    <row r="70" spans="1:15" x14ac:dyDescent="0.2">
      <c r="A70" s="735" t="s">
        <v>143</v>
      </c>
      <c r="B70" s="736"/>
      <c r="C70" s="737"/>
      <c r="D70" s="735" t="s">
        <v>144</v>
      </c>
      <c r="E70" s="736"/>
      <c r="F70" s="737"/>
      <c r="G70" s="735" t="s">
        <v>145</v>
      </c>
      <c r="H70" s="736"/>
      <c r="I70" s="737"/>
      <c r="J70" s="735" t="s">
        <v>146</v>
      </c>
      <c r="K70" s="736"/>
      <c r="L70" s="737"/>
      <c r="M70" s="735" t="s">
        <v>147</v>
      </c>
      <c r="N70" s="736"/>
      <c r="O70" s="737"/>
    </row>
    <row r="71" spans="1:15" x14ac:dyDescent="0.2">
      <c r="A71" s="50" t="s">
        <v>140</v>
      </c>
      <c r="C71" s="51"/>
      <c r="D71" s="50" t="s">
        <v>140</v>
      </c>
      <c r="F71" s="51"/>
      <c r="G71" s="50" t="s">
        <v>140</v>
      </c>
      <c r="I71" s="51"/>
      <c r="J71" s="50" t="s">
        <v>140</v>
      </c>
      <c r="L71" s="51"/>
      <c r="M71" s="50" t="s">
        <v>140</v>
      </c>
      <c r="O71" s="51"/>
    </row>
    <row r="72" spans="1:15" x14ac:dyDescent="0.2">
      <c r="A72" s="50">
        <v>10.62</v>
      </c>
      <c r="C72" s="51"/>
      <c r="D72" s="50">
        <v>10.8</v>
      </c>
      <c r="F72" s="51"/>
      <c r="G72" s="50">
        <v>10.8</v>
      </c>
      <c r="I72" s="51"/>
      <c r="J72" s="50">
        <v>10.8</v>
      </c>
      <c r="L72" s="51"/>
      <c r="M72" s="50">
        <v>10.8</v>
      </c>
      <c r="O72" s="51"/>
    </row>
    <row r="73" spans="1:15" x14ac:dyDescent="0.2">
      <c r="A73" s="50">
        <v>0.05</v>
      </c>
      <c r="B73" t="s">
        <v>141</v>
      </c>
      <c r="C73" s="51"/>
      <c r="D73" s="50">
        <v>0.05</v>
      </c>
      <c r="E73" t="s">
        <v>141</v>
      </c>
      <c r="F73" s="51"/>
      <c r="G73" s="50">
        <v>0.05</v>
      </c>
      <c r="H73" t="s">
        <v>141</v>
      </c>
      <c r="I73" s="51"/>
      <c r="J73" s="50">
        <v>0.05</v>
      </c>
      <c r="K73" t="s">
        <v>141</v>
      </c>
      <c r="L73" s="51"/>
      <c r="M73" s="50">
        <v>0.05</v>
      </c>
      <c r="N73" t="s">
        <v>141</v>
      </c>
      <c r="O73" s="51"/>
    </row>
    <row r="74" spans="1:15" x14ac:dyDescent="0.2">
      <c r="A74" s="50">
        <f>A72-A73</f>
        <v>10.569999999999999</v>
      </c>
      <c r="B74" t="s">
        <v>142</v>
      </c>
      <c r="C74" s="51"/>
      <c r="D74" s="50">
        <f>D72-D73</f>
        <v>10.75</v>
      </c>
      <c r="E74" t="s">
        <v>142</v>
      </c>
      <c r="F74" s="51"/>
      <c r="G74" s="50">
        <f>G72-G73</f>
        <v>10.75</v>
      </c>
      <c r="H74" t="s">
        <v>142</v>
      </c>
      <c r="I74" s="51"/>
      <c r="J74" s="50">
        <f>J72-J73</f>
        <v>10.75</v>
      </c>
      <c r="K74" t="s">
        <v>142</v>
      </c>
      <c r="L74" s="51"/>
      <c r="M74" s="50">
        <f>M72-M73</f>
        <v>10.75</v>
      </c>
      <c r="N74" t="s">
        <v>142</v>
      </c>
      <c r="O74" s="51"/>
    </row>
    <row r="75" spans="1:15" ht="15.75" thickBot="1" x14ac:dyDescent="0.3">
      <c r="A75" s="52">
        <v>0</v>
      </c>
      <c r="B75" s="53"/>
      <c r="C75" s="54"/>
      <c r="D75" s="52">
        <v>0</v>
      </c>
      <c r="E75" s="53"/>
      <c r="F75" s="54"/>
      <c r="G75" s="52">
        <v>0</v>
      </c>
      <c r="H75" s="53"/>
      <c r="I75" s="54"/>
      <c r="J75" s="52">
        <v>0</v>
      </c>
      <c r="K75" s="53"/>
      <c r="L75" s="54"/>
      <c r="M75" s="52">
        <v>0</v>
      </c>
      <c r="N75" s="53"/>
      <c r="O75" s="54"/>
    </row>
    <row r="76" spans="1:15" ht="13.5" thickBot="1" x14ac:dyDescent="0.25"/>
    <row r="77" spans="1:15" ht="15.75" thickBot="1" x14ac:dyDescent="0.3">
      <c r="A77" s="55" t="s">
        <v>150</v>
      </c>
      <c r="B77" s="56"/>
      <c r="C77" s="57">
        <f>A68+D68+G68+J68+M68+A75+D75+G75+J75+M75</f>
        <v>28.200000000000003</v>
      </c>
    </row>
    <row r="79" spans="1:15" x14ac:dyDescent="0.2">
      <c r="E79" t="s">
        <v>148</v>
      </c>
      <c r="G79">
        <v>0.45</v>
      </c>
    </row>
    <row r="80" spans="1:15" x14ac:dyDescent="0.2">
      <c r="E80" t="s">
        <v>149</v>
      </c>
      <c r="G80">
        <v>0.15</v>
      </c>
    </row>
    <row r="81" spans="1:15" ht="13.5" thickBot="1" x14ac:dyDescent="0.25"/>
    <row r="82" spans="1:15" x14ac:dyDescent="0.2">
      <c r="A82" s="735" t="s">
        <v>135</v>
      </c>
      <c r="B82" s="736"/>
      <c r="C82" s="737"/>
      <c r="D82" s="735" t="s">
        <v>136</v>
      </c>
      <c r="E82" s="736"/>
      <c r="F82" s="737"/>
      <c r="G82" s="735" t="s">
        <v>137</v>
      </c>
      <c r="H82" s="736"/>
      <c r="I82" s="737"/>
      <c r="J82" s="735" t="s">
        <v>138</v>
      </c>
      <c r="K82" s="736"/>
      <c r="L82" s="737"/>
      <c r="M82" s="735" t="s">
        <v>139</v>
      </c>
      <c r="N82" s="736"/>
      <c r="O82" s="737"/>
    </row>
    <row r="83" spans="1:15" x14ac:dyDescent="0.2">
      <c r="A83" s="50" t="s">
        <v>140</v>
      </c>
      <c r="C83" s="51"/>
      <c r="D83" s="50" t="s">
        <v>140</v>
      </c>
      <c r="F83" s="51"/>
      <c r="G83" s="50" t="s">
        <v>140</v>
      </c>
      <c r="I83" s="51"/>
      <c r="J83" s="50" t="s">
        <v>140</v>
      </c>
      <c r="L83" s="51"/>
      <c r="M83" s="50" t="s">
        <v>140</v>
      </c>
      <c r="O83" s="51"/>
    </row>
    <row r="84" spans="1:15" x14ac:dyDescent="0.2">
      <c r="A84" s="50">
        <v>11.3</v>
      </c>
      <c r="C84" s="51"/>
      <c r="D84" s="50">
        <v>10.8</v>
      </c>
      <c r="F84" s="51"/>
      <c r="G84" s="50">
        <v>5.29</v>
      </c>
      <c r="I84" s="51"/>
      <c r="J84" s="50">
        <v>0</v>
      </c>
      <c r="L84" s="51"/>
      <c r="M84" s="50">
        <v>10.1</v>
      </c>
      <c r="O84" s="51"/>
    </row>
    <row r="85" spans="1:15" x14ac:dyDescent="0.2">
      <c r="A85" s="50">
        <v>0.05</v>
      </c>
      <c r="B85" t="s">
        <v>141</v>
      </c>
      <c r="C85" s="51"/>
      <c r="D85" s="50">
        <v>0.05</v>
      </c>
      <c r="E85" t="s">
        <v>141</v>
      </c>
      <c r="F85" s="51"/>
      <c r="G85" s="50">
        <v>0.05</v>
      </c>
      <c r="H85" t="s">
        <v>141</v>
      </c>
      <c r="I85" s="51"/>
      <c r="J85" s="50">
        <v>0.05</v>
      </c>
      <c r="K85" t="s">
        <v>141</v>
      </c>
      <c r="L85" s="51"/>
      <c r="M85" s="50">
        <v>0.05</v>
      </c>
      <c r="N85" t="s">
        <v>141</v>
      </c>
      <c r="O85" s="51"/>
    </row>
    <row r="86" spans="1:15" x14ac:dyDescent="0.2">
      <c r="A86" s="50">
        <f>A84-A85</f>
        <v>11.25</v>
      </c>
      <c r="B86" t="s">
        <v>142</v>
      </c>
      <c r="C86" s="51"/>
      <c r="D86" s="50">
        <f>D84-D85</f>
        <v>10.75</v>
      </c>
      <c r="E86" t="s">
        <v>142</v>
      </c>
      <c r="F86" s="51"/>
      <c r="G86" s="50">
        <f>G84-G85</f>
        <v>5.24</v>
      </c>
      <c r="H86" t="s">
        <v>142</v>
      </c>
      <c r="I86" s="51"/>
      <c r="J86" s="50">
        <f>J84-J85</f>
        <v>-0.05</v>
      </c>
      <c r="K86" t="s">
        <v>142</v>
      </c>
      <c r="L86" s="51"/>
      <c r="M86" s="50">
        <f>M84-M85</f>
        <v>10.049999999999999</v>
      </c>
      <c r="N86" t="s">
        <v>142</v>
      </c>
      <c r="O86" s="51"/>
    </row>
    <row r="87" spans="1:15" ht="15.75" thickBot="1" x14ac:dyDescent="0.3">
      <c r="A87" s="52">
        <f>ROUND(A86+G79+G80,1)</f>
        <v>11.9</v>
      </c>
      <c r="B87" s="53"/>
      <c r="C87" s="54"/>
      <c r="D87" s="52">
        <v>0</v>
      </c>
      <c r="E87" s="53"/>
      <c r="F87" s="54"/>
      <c r="G87" s="52">
        <v>0</v>
      </c>
      <c r="H87" s="53"/>
      <c r="I87" s="54"/>
      <c r="J87" s="52">
        <v>0</v>
      </c>
      <c r="K87" s="53"/>
      <c r="L87" s="54"/>
      <c r="M87" s="52">
        <v>0</v>
      </c>
      <c r="N87" s="53"/>
      <c r="O87" s="54"/>
    </row>
    <row r="88" spans="1:15" ht="13.5" thickBot="1" x14ac:dyDescent="0.25"/>
    <row r="89" spans="1:15" x14ac:dyDescent="0.2">
      <c r="A89" s="735" t="s">
        <v>143</v>
      </c>
      <c r="B89" s="736"/>
      <c r="C89" s="737"/>
      <c r="D89" s="735" t="s">
        <v>144</v>
      </c>
      <c r="E89" s="736"/>
      <c r="F89" s="737"/>
      <c r="G89" s="735" t="s">
        <v>145</v>
      </c>
      <c r="H89" s="736"/>
      <c r="I89" s="737"/>
      <c r="J89" s="735" t="s">
        <v>146</v>
      </c>
      <c r="K89" s="736"/>
      <c r="L89" s="737"/>
      <c r="M89" s="735" t="s">
        <v>147</v>
      </c>
      <c r="N89" s="736"/>
      <c r="O89" s="737"/>
    </row>
    <row r="90" spans="1:15" x14ac:dyDescent="0.2">
      <c r="A90" s="50" t="s">
        <v>140</v>
      </c>
      <c r="C90" s="51"/>
      <c r="D90" s="50" t="s">
        <v>140</v>
      </c>
      <c r="F90" s="51"/>
      <c r="G90" s="50" t="s">
        <v>140</v>
      </c>
      <c r="I90" s="51"/>
      <c r="J90" s="50" t="s">
        <v>140</v>
      </c>
      <c r="L90" s="51"/>
      <c r="M90" s="50" t="s">
        <v>140</v>
      </c>
      <c r="O90" s="51"/>
    </row>
    <row r="91" spans="1:15" x14ac:dyDescent="0.2">
      <c r="A91" s="50">
        <v>10.62</v>
      </c>
      <c r="C91" s="51"/>
      <c r="D91" s="50">
        <v>10.8</v>
      </c>
      <c r="F91" s="51"/>
      <c r="G91" s="50">
        <v>10.8</v>
      </c>
      <c r="I91" s="51"/>
      <c r="J91" s="50">
        <v>10.8</v>
      </c>
      <c r="L91" s="51"/>
      <c r="M91" s="50">
        <v>10.8</v>
      </c>
      <c r="O91" s="51"/>
    </row>
    <row r="92" spans="1:15" x14ac:dyDescent="0.2">
      <c r="A92" s="50">
        <v>0.05</v>
      </c>
      <c r="B92" t="s">
        <v>141</v>
      </c>
      <c r="C92" s="51"/>
      <c r="D92" s="50">
        <v>0.05</v>
      </c>
      <c r="E92" t="s">
        <v>141</v>
      </c>
      <c r="F92" s="51"/>
      <c r="G92" s="50">
        <v>0.05</v>
      </c>
      <c r="H92" t="s">
        <v>141</v>
      </c>
      <c r="I92" s="51"/>
      <c r="J92" s="50">
        <v>0.05</v>
      </c>
      <c r="K92" t="s">
        <v>141</v>
      </c>
      <c r="L92" s="51"/>
      <c r="M92" s="50">
        <v>0.05</v>
      </c>
      <c r="N92" t="s">
        <v>141</v>
      </c>
      <c r="O92" s="51"/>
    </row>
    <row r="93" spans="1:15" x14ac:dyDescent="0.2">
      <c r="A93" s="50">
        <f>A91-A92</f>
        <v>10.569999999999999</v>
      </c>
      <c r="B93" t="s">
        <v>142</v>
      </c>
      <c r="C93" s="51"/>
      <c r="D93" s="50">
        <f>D91-D92</f>
        <v>10.75</v>
      </c>
      <c r="E93" t="s">
        <v>142</v>
      </c>
      <c r="F93" s="51"/>
      <c r="G93" s="50">
        <f>G91-G92</f>
        <v>10.75</v>
      </c>
      <c r="H93" t="s">
        <v>142</v>
      </c>
      <c r="I93" s="51"/>
      <c r="J93" s="50">
        <f>J91-J92</f>
        <v>10.75</v>
      </c>
      <c r="K93" t="s">
        <v>142</v>
      </c>
      <c r="L93" s="51"/>
      <c r="M93" s="50">
        <f>M91-M92</f>
        <v>10.75</v>
      </c>
      <c r="N93" t="s">
        <v>142</v>
      </c>
      <c r="O93" s="51"/>
    </row>
    <row r="94" spans="1:15" ht="15.75" thickBot="1" x14ac:dyDescent="0.3">
      <c r="A94" s="52">
        <v>0</v>
      </c>
      <c r="B94" s="53"/>
      <c r="C94" s="54"/>
      <c r="D94" s="52">
        <v>0</v>
      </c>
      <c r="E94" s="53"/>
      <c r="F94" s="54"/>
      <c r="G94" s="52">
        <v>0</v>
      </c>
      <c r="H94" s="53"/>
      <c r="I94" s="54"/>
      <c r="J94" s="52">
        <v>0</v>
      </c>
      <c r="K94" s="53"/>
      <c r="L94" s="54"/>
      <c r="M94" s="52">
        <v>0</v>
      </c>
      <c r="N94" s="53"/>
      <c r="O94" s="54"/>
    </row>
    <row r="95" spans="1:15" ht="13.5" thickBot="1" x14ac:dyDescent="0.25"/>
    <row r="96" spans="1:15" ht="15.75" thickBot="1" x14ac:dyDescent="0.3">
      <c r="A96" s="55" t="s">
        <v>150</v>
      </c>
      <c r="B96" s="56"/>
      <c r="C96" s="57">
        <f>A87+D87+G87+J87+M87+A94+D94+G94+J94+M94</f>
        <v>11.9</v>
      </c>
    </row>
    <row r="99" spans="1:15" x14ac:dyDescent="0.2">
      <c r="E99" t="s">
        <v>148</v>
      </c>
      <c r="G99">
        <v>0.45</v>
      </c>
    </row>
    <row r="100" spans="1:15" x14ac:dyDescent="0.2">
      <c r="E100" t="s">
        <v>149</v>
      </c>
      <c r="G100">
        <v>0.15</v>
      </c>
    </row>
    <row r="101" spans="1:15" ht="13.5" thickBot="1" x14ac:dyDescent="0.25"/>
    <row r="102" spans="1:15" x14ac:dyDescent="0.2">
      <c r="A102" s="735" t="s">
        <v>135</v>
      </c>
      <c r="B102" s="736"/>
      <c r="C102" s="737"/>
      <c r="D102" s="735" t="s">
        <v>136</v>
      </c>
      <c r="E102" s="736"/>
      <c r="F102" s="737"/>
      <c r="G102" s="735" t="s">
        <v>137</v>
      </c>
      <c r="H102" s="736"/>
      <c r="I102" s="737"/>
      <c r="J102" s="735" t="s">
        <v>138</v>
      </c>
      <c r="K102" s="736"/>
      <c r="L102" s="737"/>
      <c r="M102" s="735" t="s">
        <v>139</v>
      </c>
      <c r="N102" s="736"/>
      <c r="O102" s="737"/>
    </row>
    <row r="103" spans="1:15" x14ac:dyDescent="0.2">
      <c r="A103" s="50" t="s">
        <v>140</v>
      </c>
      <c r="C103" s="51"/>
      <c r="D103" s="50" t="s">
        <v>140</v>
      </c>
      <c r="F103" s="51"/>
      <c r="G103" s="50" t="s">
        <v>140</v>
      </c>
      <c r="I103" s="51"/>
      <c r="J103" s="50" t="s">
        <v>140</v>
      </c>
      <c r="L103" s="51"/>
      <c r="M103" s="50" t="s">
        <v>140</v>
      </c>
      <c r="O103" s="51"/>
    </row>
    <row r="104" spans="1:15" x14ac:dyDescent="0.2">
      <c r="A104" s="50">
        <v>10.8</v>
      </c>
      <c r="C104" s="51"/>
      <c r="D104" s="50">
        <v>9.17</v>
      </c>
      <c r="F104" s="51"/>
      <c r="G104" s="50">
        <v>10.71</v>
      </c>
      <c r="I104" s="51"/>
      <c r="J104" s="50">
        <v>10.8</v>
      </c>
      <c r="L104" s="51"/>
      <c r="M104" s="50">
        <v>10.1</v>
      </c>
      <c r="O104" s="51"/>
    </row>
    <row r="105" spans="1:15" x14ac:dyDescent="0.2">
      <c r="A105" s="50">
        <v>0.05</v>
      </c>
      <c r="B105" t="s">
        <v>141</v>
      </c>
      <c r="C105" s="51"/>
      <c r="D105" s="50">
        <v>0.05</v>
      </c>
      <c r="E105" t="s">
        <v>141</v>
      </c>
      <c r="F105" s="51"/>
      <c r="G105" s="50">
        <v>0.05</v>
      </c>
      <c r="H105" t="s">
        <v>141</v>
      </c>
      <c r="I105" s="51"/>
      <c r="J105" s="50">
        <v>0.05</v>
      </c>
      <c r="K105" t="s">
        <v>141</v>
      </c>
      <c r="L105" s="51"/>
      <c r="M105" s="50">
        <v>0.05</v>
      </c>
      <c r="N105" t="s">
        <v>141</v>
      </c>
      <c r="O105" s="51"/>
    </row>
    <row r="106" spans="1:15" x14ac:dyDescent="0.2">
      <c r="A106" s="50">
        <f>A104-A105</f>
        <v>10.75</v>
      </c>
      <c r="B106" t="s">
        <v>142</v>
      </c>
      <c r="C106" s="51"/>
      <c r="D106" s="50">
        <f>D104-D105</f>
        <v>9.1199999999999992</v>
      </c>
      <c r="E106" t="s">
        <v>142</v>
      </c>
      <c r="F106" s="51"/>
      <c r="G106" s="50">
        <f>G104-G105</f>
        <v>10.66</v>
      </c>
      <c r="H106" t="s">
        <v>142</v>
      </c>
      <c r="I106" s="51"/>
      <c r="J106" s="50">
        <f>J104-J105</f>
        <v>10.75</v>
      </c>
      <c r="K106" t="s">
        <v>142</v>
      </c>
      <c r="L106" s="51"/>
      <c r="M106" s="50">
        <f>M104-M105</f>
        <v>10.049999999999999</v>
      </c>
      <c r="N106" t="s">
        <v>142</v>
      </c>
      <c r="O106" s="51"/>
    </row>
    <row r="107" spans="1:15" ht="15.75" thickBot="1" x14ac:dyDescent="0.3">
      <c r="A107" s="52">
        <f>ROUND(A106+G99+G100,1)</f>
        <v>11.4</v>
      </c>
      <c r="B107" s="53"/>
      <c r="C107" s="54"/>
      <c r="D107" s="52">
        <f>ROUND(D106+G99+G100,1)</f>
        <v>9.6999999999999993</v>
      </c>
      <c r="E107" s="53"/>
      <c r="F107" s="54"/>
      <c r="G107" s="52">
        <f>ROUND(G106+G99+G100,1)</f>
        <v>11.3</v>
      </c>
      <c r="H107" s="53"/>
      <c r="I107" s="54"/>
      <c r="J107" s="52">
        <f>ROUND(J106+G99+G100,1)</f>
        <v>11.4</v>
      </c>
      <c r="K107" s="53"/>
      <c r="L107" s="54"/>
      <c r="M107" s="52">
        <v>0</v>
      </c>
      <c r="N107" s="53"/>
      <c r="O107" s="54"/>
    </row>
    <row r="108" spans="1:15" x14ac:dyDescent="0.2">
      <c r="A108" s="60">
        <v>4</v>
      </c>
      <c r="B108" s="58" t="s">
        <v>151</v>
      </c>
      <c r="D108" s="60">
        <v>1</v>
      </c>
      <c r="E108" s="58" t="s">
        <v>151</v>
      </c>
      <c r="G108" s="60">
        <v>1</v>
      </c>
      <c r="H108" s="58" t="s">
        <v>151</v>
      </c>
      <c r="J108" s="60">
        <v>6</v>
      </c>
      <c r="K108" s="58" t="s">
        <v>151</v>
      </c>
    </row>
    <row r="109" spans="1:15" x14ac:dyDescent="0.2">
      <c r="A109" s="59">
        <f>A107*A108</f>
        <v>45.6</v>
      </c>
      <c r="B109" s="59" t="s">
        <v>152</v>
      </c>
      <c r="D109" s="59">
        <f>D107*D108</f>
        <v>9.6999999999999993</v>
      </c>
      <c r="E109" s="59" t="s">
        <v>152</v>
      </c>
      <c r="G109" s="59">
        <f>G107*G108</f>
        <v>11.3</v>
      </c>
      <c r="H109" s="59" t="s">
        <v>152</v>
      </c>
      <c r="J109" s="59">
        <f>J107*J108</f>
        <v>68.400000000000006</v>
      </c>
      <c r="K109" s="59" t="s">
        <v>152</v>
      </c>
    </row>
    <row r="110" spans="1:15" x14ac:dyDescent="0.2">
      <c r="A110" s="59"/>
      <c r="B110" s="59"/>
    </row>
    <row r="111" spans="1:15" ht="13.5" thickBot="1" x14ac:dyDescent="0.25"/>
    <row r="112" spans="1:15" x14ac:dyDescent="0.2">
      <c r="A112" s="735" t="s">
        <v>143</v>
      </c>
      <c r="B112" s="736"/>
      <c r="C112" s="737"/>
      <c r="D112" s="735" t="s">
        <v>144</v>
      </c>
      <c r="E112" s="736"/>
      <c r="F112" s="737"/>
      <c r="G112" s="735" t="s">
        <v>145</v>
      </c>
      <c r="H112" s="736"/>
      <c r="I112" s="737"/>
      <c r="J112" s="735" t="s">
        <v>146</v>
      </c>
      <c r="K112" s="736"/>
      <c r="L112" s="737"/>
      <c r="M112" s="735" t="s">
        <v>147</v>
      </c>
      <c r="N112" s="736"/>
      <c r="O112" s="737"/>
    </row>
    <row r="113" spans="1:15" x14ac:dyDescent="0.2">
      <c r="A113" s="50" t="s">
        <v>140</v>
      </c>
      <c r="C113" s="51"/>
      <c r="D113" s="50" t="s">
        <v>140</v>
      </c>
      <c r="F113" s="51"/>
      <c r="G113" s="50" t="s">
        <v>140</v>
      </c>
      <c r="I113" s="51"/>
      <c r="J113" s="50" t="s">
        <v>140</v>
      </c>
      <c r="L113" s="51"/>
      <c r="M113" s="50" t="s">
        <v>140</v>
      </c>
      <c r="O113" s="51"/>
    </row>
    <row r="114" spans="1:15" x14ac:dyDescent="0.2">
      <c r="A114" s="50">
        <v>10.62</v>
      </c>
      <c r="C114" s="51"/>
      <c r="D114" s="50">
        <v>10.8</v>
      </c>
      <c r="F114" s="51"/>
      <c r="G114" s="50">
        <v>10.8</v>
      </c>
      <c r="I114" s="51"/>
      <c r="J114" s="50">
        <v>10.8</v>
      </c>
      <c r="L114" s="51"/>
      <c r="M114" s="50">
        <v>10.8</v>
      </c>
      <c r="O114" s="51"/>
    </row>
    <row r="115" spans="1:15" x14ac:dyDescent="0.2">
      <c r="A115" s="50">
        <v>0.05</v>
      </c>
      <c r="B115" t="s">
        <v>141</v>
      </c>
      <c r="C115" s="51"/>
      <c r="D115" s="50">
        <v>0.05</v>
      </c>
      <c r="E115" t="s">
        <v>141</v>
      </c>
      <c r="F115" s="51"/>
      <c r="G115" s="50">
        <v>0.05</v>
      </c>
      <c r="H115" t="s">
        <v>141</v>
      </c>
      <c r="I115" s="51"/>
      <c r="J115" s="50">
        <v>0.05</v>
      </c>
      <c r="K115" t="s">
        <v>141</v>
      </c>
      <c r="L115" s="51"/>
      <c r="M115" s="50">
        <v>0.05</v>
      </c>
      <c r="N115" t="s">
        <v>141</v>
      </c>
      <c r="O115" s="51"/>
    </row>
    <row r="116" spans="1:15" x14ac:dyDescent="0.2">
      <c r="A116" s="50">
        <f>A114-A115</f>
        <v>10.569999999999999</v>
      </c>
      <c r="B116" t="s">
        <v>142</v>
      </c>
      <c r="C116" s="51"/>
      <c r="D116" s="50">
        <f>D114-D115</f>
        <v>10.75</v>
      </c>
      <c r="E116" t="s">
        <v>142</v>
      </c>
      <c r="F116" s="51"/>
      <c r="G116" s="50">
        <f>G114-G115</f>
        <v>10.75</v>
      </c>
      <c r="H116" t="s">
        <v>142</v>
      </c>
      <c r="I116" s="51"/>
      <c r="J116" s="50">
        <f>J114-J115</f>
        <v>10.75</v>
      </c>
      <c r="K116" t="s">
        <v>142</v>
      </c>
      <c r="L116" s="51"/>
      <c r="M116" s="50">
        <f>M114-M115</f>
        <v>10.75</v>
      </c>
      <c r="N116" t="s">
        <v>142</v>
      </c>
      <c r="O116" s="51"/>
    </row>
    <row r="117" spans="1:15" ht="15.75" thickBot="1" x14ac:dyDescent="0.3">
      <c r="A117" s="52">
        <v>0</v>
      </c>
      <c r="B117" s="53"/>
      <c r="C117" s="54"/>
      <c r="D117" s="52">
        <v>0</v>
      </c>
      <c r="E117" s="53"/>
      <c r="F117" s="54"/>
      <c r="G117" s="52">
        <v>0</v>
      </c>
      <c r="H117" s="53"/>
      <c r="I117" s="54"/>
      <c r="J117" s="52">
        <v>0</v>
      </c>
      <c r="K117" s="53"/>
      <c r="L117" s="54"/>
      <c r="M117" s="52">
        <v>0</v>
      </c>
      <c r="N117" s="53"/>
      <c r="O117" s="54"/>
    </row>
    <row r="118" spans="1:15" ht="13.5" thickBot="1" x14ac:dyDescent="0.25"/>
    <row r="119" spans="1:15" ht="15.75" thickBot="1" x14ac:dyDescent="0.3">
      <c r="A119" s="55" t="s">
        <v>150</v>
      </c>
      <c r="B119" s="56"/>
      <c r="C119" s="57">
        <f>A109+D109+G109+J109+M107+A117+D117+G117+J117+M117</f>
        <v>135</v>
      </c>
    </row>
    <row r="121" spans="1:15" x14ac:dyDescent="0.2">
      <c r="E121" t="s">
        <v>148</v>
      </c>
      <c r="G121">
        <v>0.45</v>
      </c>
    </row>
    <row r="122" spans="1:15" x14ac:dyDescent="0.2">
      <c r="E122" t="s">
        <v>149</v>
      </c>
      <c r="G122">
        <v>0.15</v>
      </c>
    </row>
    <row r="123" spans="1:15" ht="13.5" thickBot="1" x14ac:dyDescent="0.25"/>
    <row r="124" spans="1:15" x14ac:dyDescent="0.2">
      <c r="A124" s="735" t="s">
        <v>135</v>
      </c>
      <c r="B124" s="736"/>
      <c r="C124" s="737"/>
      <c r="D124" s="735" t="s">
        <v>136</v>
      </c>
      <c r="E124" s="736"/>
      <c r="F124" s="737"/>
      <c r="G124" s="735" t="s">
        <v>137</v>
      </c>
      <c r="H124" s="736"/>
      <c r="I124" s="737"/>
      <c r="J124" s="735" t="s">
        <v>138</v>
      </c>
      <c r="K124" s="736"/>
      <c r="L124" s="737"/>
      <c r="M124" s="735" t="s">
        <v>139</v>
      </c>
      <c r="N124" s="736"/>
      <c r="O124" s="737"/>
    </row>
    <row r="125" spans="1:15" x14ac:dyDescent="0.2">
      <c r="A125" s="50" t="s">
        <v>140</v>
      </c>
      <c r="C125" s="51"/>
      <c r="D125" s="50" t="s">
        <v>140</v>
      </c>
      <c r="F125" s="51"/>
      <c r="G125" s="50" t="s">
        <v>140</v>
      </c>
      <c r="I125" s="51"/>
      <c r="J125" s="50" t="s">
        <v>140</v>
      </c>
      <c r="L125" s="51"/>
      <c r="M125" s="50" t="s">
        <v>140</v>
      </c>
      <c r="O125" s="51"/>
    </row>
    <row r="126" spans="1:15" x14ac:dyDescent="0.2">
      <c r="A126" s="50">
        <v>2.35</v>
      </c>
      <c r="C126" s="51"/>
      <c r="D126" s="50">
        <v>14.53</v>
      </c>
      <c r="F126" s="51"/>
      <c r="G126" s="50">
        <v>10.8</v>
      </c>
      <c r="I126" s="51"/>
      <c r="J126" s="50">
        <v>11.04</v>
      </c>
      <c r="L126" s="51"/>
      <c r="M126" s="50">
        <v>10.1</v>
      </c>
      <c r="O126" s="51"/>
    </row>
    <row r="127" spans="1:15" x14ac:dyDescent="0.2">
      <c r="A127" s="50">
        <v>0.05</v>
      </c>
      <c r="B127" t="s">
        <v>141</v>
      </c>
      <c r="C127" s="51"/>
      <c r="D127" s="50">
        <v>0.05</v>
      </c>
      <c r="E127" t="s">
        <v>141</v>
      </c>
      <c r="F127" s="51"/>
      <c r="G127" s="50">
        <v>0.05</v>
      </c>
      <c r="H127" t="s">
        <v>141</v>
      </c>
      <c r="I127" s="51"/>
      <c r="J127" s="50">
        <v>0.05</v>
      </c>
      <c r="K127" t="s">
        <v>141</v>
      </c>
      <c r="L127" s="51"/>
      <c r="M127" s="50">
        <v>0.05</v>
      </c>
      <c r="N127" t="s">
        <v>141</v>
      </c>
      <c r="O127" s="51"/>
    </row>
    <row r="128" spans="1:15" x14ac:dyDescent="0.2">
      <c r="A128" s="50">
        <f>A126-A127</f>
        <v>2.3000000000000003</v>
      </c>
      <c r="B128" t="s">
        <v>142</v>
      </c>
      <c r="C128" s="51"/>
      <c r="D128" s="50">
        <f>D126-D127</f>
        <v>14.479999999999999</v>
      </c>
      <c r="E128" t="s">
        <v>142</v>
      </c>
      <c r="F128" s="51"/>
      <c r="G128" s="50">
        <f>G126-G127</f>
        <v>10.75</v>
      </c>
      <c r="H128" t="s">
        <v>142</v>
      </c>
      <c r="I128" s="51"/>
      <c r="J128" s="50">
        <f>J126-J127</f>
        <v>10.989999999999998</v>
      </c>
      <c r="K128" t="s">
        <v>142</v>
      </c>
      <c r="L128" s="51"/>
      <c r="M128" s="50">
        <f>M126-M127</f>
        <v>10.049999999999999</v>
      </c>
      <c r="N128" t="s">
        <v>142</v>
      </c>
      <c r="O128" s="51"/>
    </row>
    <row r="129" spans="1:15" ht="15.75" thickBot="1" x14ac:dyDescent="0.3">
      <c r="A129" s="52">
        <f>ROUND(A128+G122,1)</f>
        <v>2.5</v>
      </c>
      <c r="B129" s="53"/>
      <c r="C129" s="54"/>
      <c r="D129" s="52">
        <f>ROUND(D128+G121+G122,1)</f>
        <v>15.1</v>
      </c>
      <c r="E129" s="53"/>
      <c r="F129" s="54"/>
      <c r="G129" s="52">
        <f>ROUND(G128+G121+G122,1)</f>
        <v>11.4</v>
      </c>
      <c r="H129" s="53"/>
      <c r="I129" s="54"/>
      <c r="J129" s="52">
        <f>ROUND(J128+G121+G122,1)</f>
        <v>11.6</v>
      </c>
      <c r="K129" s="53"/>
      <c r="L129" s="54"/>
      <c r="M129" s="52">
        <v>0</v>
      </c>
      <c r="N129" s="53"/>
      <c r="O129" s="54"/>
    </row>
    <row r="130" spans="1:15" x14ac:dyDescent="0.2">
      <c r="A130" s="60">
        <v>1</v>
      </c>
      <c r="B130" s="58" t="s">
        <v>151</v>
      </c>
      <c r="D130" s="60">
        <v>1</v>
      </c>
      <c r="E130" s="58" t="s">
        <v>151</v>
      </c>
      <c r="G130" s="60">
        <v>6</v>
      </c>
      <c r="H130" s="58" t="s">
        <v>151</v>
      </c>
      <c r="J130" s="60">
        <v>1</v>
      </c>
      <c r="K130" s="58" t="s">
        <v>151</v>
      </c>
    </row>
    <row r="131" spans="1:15" x14ac:dyDescent="0.2">
      <c r="A131" s="59">
        <f>A129*A130</f>
        <v>2.5</v>
      </c>
      <c r="B131" s="59" t="s">
        <v>152</v>
      </c>
      <c r="D131" s="59">
        <f>D129*D130</f>
        <v>15.1</v>
      </c>
      <c r="E131" s="59" t="s">
        <v>152</v>
      </c>
      <c r="G131" s="59">
        <f>G129*G130</f>
        <v>68.400000000000006</v>
      </c>
      <c r="H131" s="59" t="s">
        <v>152</v>
      </c>
      <c r="J131" s="59">
        <f>J129*J130</f>
        <v>11.6</v>
      </c>
      <c r="K131" s="59" t="s">
        <v>152</v>
      </c>
    </row>
    <row r="132" spans="1:15" x14ac:dyDescent="0.2">
      <c r="A132" s="59"/>
      <c r="B132" s="59"/>
    </row>
    <row r="133" spans="1:15" ht="13.5" thickBot="1" x14ac:dyDescent="0.25"/>
    <row r="134" spans="1:15" x14ac:dyDescent="0.2">
      <c r="A134" s="735" t="s">
        <v>143</v>
      </c>
      <c r="B134" s="736"/>
      <c r="C134" s="737"/>
      <c r="D134" s="735" t="s">
        <v>144</v>
      </c>
      <c r="E134" s="736"/>
      <c r="F134" s="737"/>
      <c r="G134" s="735" t="s">
        <v>145</v>
      </c>
      <c r="H134" s="736"/>
      <c r="I134" s="737"/>
      <c r="J134" s="735" t="s">
        <v>146</v>
      </c>
      <c r="K134" s="736"/>
      <c r="L134" s="737"/>
      <c r="M134" s="735" t="s">
        <v>147</v>
      </c>
      <c r="N134" s="736"/>
      <c r="O134" s="737"/>
    </row>
    <row r="135" spans="1:15" x14ac:dyDescent="0.2">
      <c r="A135" s="50" t="s">
        <v>140</v>
      </c>
      <c r="C135" s="51"/>
      <c r="D135" s="50" t="s">
        <v>140</v>
      </c>
      <c r="F135" s="51"/>
      <c r="G135" s="50" t="s">
        <v>140</v>
      </c>
      <c r="I135" s="51"/>
      <c r="J135" s="50" t="s">
        <v>140</v>
      </c>
      <c r="L135" s="51"/>
      <c r="M135" s="50" t="s">
        <v>140</v>
      </c>
      <c r="O135" s="51"/>
    </row>
    <row r="136" spans="1:15" x14ac:dyDescent="0.2">
      <c r="A136" s="50">
        <v>10.62</v>
      </c>
      <c r="C136" s="51"/>
      <c r="D136" s="50">
        <v>10.8</v>
      </c>
      <c r="F136" s="51"/>
      <c r="G136" s="50">
        <v>10.8</v>
      </c>
      <c r="I136" s="51"/>
      <c r="J136" s="50">
        <v>10.8</v>
      </c>
      <c r="L136" s="51"/>
      <c r="M136" s="50">
        <v>10.8</v>
      </c>
      <c r="O136" s="51"/>
    </row>
    <row r="137" spans="1:15" x14ac:dyDescent="0.2">
      <c r="A137" s="50">
        <v>0.05</v>
      </c>
      <c r="B137" t="s">
        <v>141</v>
      </c>
      <c r="C137" s="51"/>
      <c r="D137" s="50">
        <v>0.05</v>
      </c>
      <c r="E137" t="s">
        <v>141</v>
      </c>
      <c r="F137" s="51"/>
      <c r="G137" s="50">
        <v>0.05</v>
      </c>
      <c r="H137" t="s">
        <v>141</v>
      </c>
      <c r="I137" s="51"/>
      <c r="J137" s="50">
        <v>0.05</v>
      </c>
      <c r="K137" t="s">
        <v>141</v>
      </c>
      <c r="L137" s="51"/>
      <c r="M137" s="50">
        <v>0.05</v>
      </c>
      <c r="N137" t="s">
        <v>141</v>
      </c>
      <c r="O137" s="51"/>
    </row>
    <row r="138" spans="1:15" x14ac:dyDescent="0.2">
      <c r="A138" s="50">
        <f>A136-A137</f>
        <v>10.569999999999999</v>
      </c>
      <c r="B138" t="s">
        <v>142</v>
      </c>
      <c r="C138" s="51"/>
      <c r="D138" s="50">
        <f>D136-D137</f>
        <v>10.75</v>
      </c>
      <c r="E138" t="s">
        <v>142</v>
      </c>
      <c r="F138" s="51"/>
      <c r="G138" s="50">
        <f>G136-G137</f>
        <v>10.75</v>
      </c>
      <c r="H138" t="s">
        <v>142</v>
      </c>
      <c r="I138" s="51"/>
      <c r="J138" s="50">
        <f>J136-J137</f>
        <v>10.75</v>
      </c>
      <c r="K138" t="s">
        <v>142</v>
      </c>
      <c r="L138" s="51"/>
      <c r="M138" s="50">
        <f>M136-M137</f>
        <v>10.75</v>
      </c>
      <c r="N138" t="s">
        <v>142</v>
      </c>
      <c r="O138" s="51"/>
    </row>
    <row r="139" spans="1:15" ht="15.75" thickBot="1" x14ac:dyDescent="0.3">
      <c r="A139" s="52">
        <v>0</v>
      </c>
      <c r="B139" s="53"/>
      <c r="C139" s="54"/>
      <c r="D139" s="52">
        <v>0</v>
      </c>
      <c r="E139" s="53"/>
      <c r="F139" s="54"/>
      <c r="G139" s="52">
        <v>0</v>
      </c>
      <c r="H139" s="53"/>
      <c r="I139" s="54"/>
      <c r="J139" s="52">
        <v>0</v>
      </c>
      <c r="K139" s="53"/>
      <c r="L139" s="54"/>
      <c r="M139" s="52">
        <v>0</v>
      </c>
      <c r="N139" s="53"/>
      <c r="O139" s="54"/>
    </row>
    <row r="140" spans="1:15" ht="13.5" thickBot="1" x14ac:dyDescent="0.25"/>
    <row r="141" spans="1:15" ht="15.75" thickBot="1" x14ac:dyDescent="0.3">
      <c r="A141" s="55" t="s">
        <v>150</v>
      </c>
      <c r="B141" s="56"/>
      <c r="C141" s="57">
        <f>A131+D131+G131+J131+M129+A139+D139+G139+J139+M139</f>
        <v>97.6</v>
      </c>
    </row>
    <row r="144" spans="1:15" x14ac:dyDescent="0.2">
      <c r="E144" t="s">
        <v>148</v>
      </c>
      <c r="G144">
        <v>0.45</v>
      </c>
    </row>
    <row r="145" spans="1:15" x14ac:dyDescent="0.2">
      <c r="E145" t="s">
        <v>149</v>
      </c>
      <c r="G145">
        <v>0.15</v>
      </c>
    </row>
    <row r="146" spans="1:15" ht="13.5" thickBot="1" x14ac:dyDescent="0.25"/>
    <row r="147" spans="1:15" x14ac:dyDescent="0.2">
      <c r="A147" s="735" t="s">
        <v>135</v>
      </c>
      <c r="B147" s="736"/>
      <c r="C147" s="737"/>
      <c r="D147" s="735" t="s">
        <v>136</v>
      </c>
      <c r="E147" s="736"/>
      <c r="F147" s="737"/>
      <c r="G147" s="735" t="s">
        <v>137</v>
      </c>
      <c r="H147" s="736"/>
      <c r="I147" s="737"/>
      <c r="J147" s="735" t="s">
        <v>138</v>
      </c>
      <c r="K147" s="736"/>
      <c r="L147" s="737"/>
      <c r="M147" s="735" t="s">
        <v>139</v>
      </c>
      <c r="N147" s="736"/>
      <c r="O147" s="737"/>
    </row>
    <row r="148" spans="1:15" x14ac:dyDescent="0.2">
      <c r="A148" s="50" t="s">
        <v>140</v>
      </c>
      <c r="C148" s="51"/>
      <c r="D148" s="50" t="s">
        <v>140</v>
      </c>
      <c r="F148" s="51"/>
      <c r="G148" s="50" t="s">
        <v>140</v>
      </c>
      <c r="I148" s="51"/>
      <c r="J148" s="50" t="s">
        <v>140</v>
      </c>
      <c r="L148" s="51"/>
      <c r="M148" s="50" t="s">
        <v>140</v>
      </c>
      <c r="O148" s="51"/>
    </row>
    <row r="149" spans="1:15" x14ac:dyDescent="0.2">
      <c r="A149" s="50">
        <v>2.64</v>
      </c>
      <c r="C149" s="51"/>
      <c r="D149" s="50">
        <v>2.31</v>
      </c>
      <c r="F149" s="51"/>
      <c r="G149" s="50">
        <v>2.6</v>
      </c>
      <c r="I149" s="51"/>
      <c r="J149" s="50">
        <v>11.04</v>
      </c>
      <c r="L149" s="51"/>
      <c r="M149" s="50">
        <v>10.1</v>
      </c>
      <c r="O149" s="51"/>
    </row>
    <row r="150" spans="1:15" x14ac:dyDescent="0.2">
      <c r="A150" s="50">
        <v>0.05</v>
      </c>
      <c r="B150" t="s">
        <v>141</v>
      </c>
      <c r="C150" s="51"/>
      <c r="D150" s="50">
        <v>0.05</v>
      </c>
      <c r="E150" t="s">
        <v>141</v>
      </c>
      <c r="F150" s="51"/>
      <c r="G150" s="50">
        <v>0.05</v>
      </c>
      <c r="H150" t="s">
        <v>141</v>
      </c>
      <c r="I150" s="51"/>
      <c r="J150" s="50">
        <v>0.05</v>
      </c>
      <c r="K150" t="s">
        <v>141</v>
      </c>
      <c r="L150" s="51"/>
      <c r="M150" s="50">
        <v>0.05</v>
      </c>
      <c r="N150" t="s">
        <v>141</v>
      </c>
      <c r="O150" s="51"/>
    </row>
    <row r="151" spans="1:15" x14ac:dyDescent="0.2">
      <c r="A151" s="50">
        <f>A149-A150</f>
        <v>2.5900000000000003</v>
      </c>
      <c r="B151" t="s">
        <v>142</v>
      </c>
      <c r="C151" s="51"/>
      <c r="D151" s="50">
        <f>D149-D150</f>
        <v>2.2600000000000002</v>
      </c>
      <c r="E151" t="s">
        <v>142</v>
      </c>
      <c r="F151" s="51"/>
      <c r="G151" s="50">
        <f>G149-G150</f>
        <v>2.5500000000000003</v>
      </c>
      <c r="H151" t="s">
        <v>142</v>
      </c>
      <c r="I151" s="51"/>
      <c r="J151" s="50">
        <f>J149-J150</f>
        <v>10.989999999999998</v>
      </c>
      <c r="K151" t="s">
        <v>142</v>
      </c>
      <c r="L151" s="51"/>
      <c r="M151" s="50">
        <f>M149-M150</f>
        <v>10.049999999999999</v>
      </c>
      <c r="N151" t="s">
        <v>142</v>
      </c>
      <c r="O151" s="51"/>
    </row>
    <row r="152" spans="1:15" ht="15.75" thickBot="1" x14ac:dyDescent="0.3">
      <c r="A152" s="52">
        <f>ROUND(A151+G145,1)</f>
        <v>2.7</v>
      </c>
      <c r="B152" s="53"/>
      <c r="C152" s="54"/>
      <c r="D152" s="52">
        <f>ROUND(D151+G145,1)</f>
        <v>2.4</v>
      </c>
      <c r="E152" s="53"/>
      <c r="F152" s="54"/>
      <c r="G152" s="52">
        <f>ROUND(G151+G145,1)</f>
        <v>2.7</v>
      </c>
      <c r="H152" s="53"/>
      <c r="I152" s="54"/>
      <c r="J152" s="52">
        <v>0</v>
      </c>
      <c r="K152" s="53"/>
      <c r="L152" s="54"/>
      <c r="M152" s="52">
        <v>0</v>
      </c>
      <c r="N152" s="53"/>
      <c r="O152" s="54"/>
    </row>
    <row r="153" spans="1:15" x14ac:dyDescent="0.2">
      <c r="A153" s="60">
        <v>1</v>
      </c>
      <c r="B153" s="58" t="s">
        <v>151</v>
      </c>
      <c r="D153" s="60">
        <v>1</v>
      </c>
      <c r="E153" s="58" t="s">
        <v>151</v>
      </c>
      <c r="G153" s="60">
        <v>1</v>
      </c>
      <c r="H153" s="58" t="s">
        <v>151</v>
      </c>
      <c r="J153" s="60">
        <v>1</v>
      </c>
      <c r="K153" s="58" t="s">
        <v>151</v>
      </c>
    </row>
    <row r="154" spans="1:15" x14ac:dyDescent="0.2">
      <c r="A154" s="59">
        <f>A152*A153</f>
        <v>2.7</v>
      </c>
      <c r="B154" s="59" t="s">
        <v>152</v>
      </c>
      <c r="D154" s="59">
        <f>D152*D153</f>
        <v>2.4</v>
      </c>
      <c r="E154" s="59" t="s">
        <v>152</v>
      </c>
      <c r="G154" s="59">
        <f>G152*G153</f>
        <v>2.7</v>
      </c>
      <c r="H154" s="59" t="s">
        <v>152</v>
      </c>
      <c r="J154" s="59">
        <f>J152*J153</f>
        <v>0</v>
      </c>
      <c r="K154" s="59" t="s">
        <v>152</v>
      </c>
    </row>
    <row r="155" spans="1:15" x14ac:dyDescent="0.2">
      <c r="A155" s="59"/>
      <c r="B155" s="59"/>
    </row>
    <row r="156" spans="1:15" ht="13.5" thickBot="1" x14ac:dyDescent="0.25"/>
    <row r="157" spans="1:15" x14ac:dyDescent="0.2">
      <c r="A157" s="735" t="s">
        <v>143</v>
      </c>
      <c r="B157" s="736"/>
      <c r="C157" s="737"/>
      <c r="D157" s="735" t="s">
        <v>144</v>
      </c>
      <c r="E157" s="736"/>
      <c r="F157" s="737"/>
      <c r="G157" s="735" t="s">
        <v>145</v>
      </c>
      <c r="H157" s="736"/>
      <c r="I157" s="737"/>
      <c r="J157" s="735" t="s">
        <v>146</v>
      </c>
      <c r="K157" s="736"/>
      <c r="L157" s="737"/>
      <c r="M157" s="735" t="s">
        <v>147</v>
      </c>
      <c r="N157" s="736"/>
      <c r="O157" s="737"/>
    </row>
    <row r="158" spans="1:15" x14ac:dyDescent="0.2">
      <c r="A158" s="50" t="s">
        <v>140</v>
      </c>
      <c r="C158" s="51"/>
      <c r="D158" s="50" t="s">
        <v>140</v>
      </c>
      <c r="F158" s="51"/>
      <c r="G158" s="50" t="s">
        <v>140</v>
      </c>
      <c r="I158" s="51"/>
      <c r="J158" s="50" t="s">
        <v>140</v>
      </c>
      <c r="L158" s="51"/>
      <c r="M158" s="50" t="s">
        <v>140</v>
      </c>
      <c r="O158" s="51"/>
    </row>
    <row r="159" spans="1:15" x14ac:dyDescent="0.2">
      <c r="A159" s="50">
        <v>10.62</v>
      </c>
      <c r="C159" s="51"/>
      <c r="D159" s="50">
        <v>10.8</v>
      </c>
      <c r="F159" s="51"/>
      <c r="G159" s="50">
        <v>10.8</v>
      </c>
      <c r="I159" s="51"/>
      <c r="J159" s="50">
        <v>10.8</v>
      </c>
      <c r="L159" s="51"/>
      <c r="M159" s="50">
        <v>10.8</v>
      </c>
      <c r="O159" s="51"/>
    </row>
    <row r="160" spans="1:15" x14ac:dyDescent="0.2">
      <c r="A160" s="50">
        <v>0.05</v>
      </c>
      <c r="B160" t="s">
        <v>141</v>
      </c>
      <c r="C160" s="51"/>
      <c r="D160" s="50">
        <v>0.05</v>
      </c>
      <c r="E160" t="s">
        <v>141</v>
      </c>
      <c r="F160" s="51"/>
      <c r="G160" s="50">
        <v>0.05</v>
      </c>
      <c r="H160" t="s">
        <v>141</v>
      </c>
      <c r="I160" s="51"/>
      <c r="J160" s="50">
        <v>0.05</v>
      </c>
      <c r="K160" t="s">
        <v>141</v>
      </c>
      <c r="L160" s="51"/>
      <c r="M160" s="50">
        <v>0.05</v>
      </c>
      <c r="N160" t="s">
        <v>141</v>
      </c>
      <c r="O160" s="51"/>
    </row>
    <row r="161" spans="1:15" x14ac:dyDescent="0.2">
      <c r="A161" s="50">
        <f>A159-A160</f>
        <v>10.569999999999999</v>
      </c>
      <c r="B161" t="s">
        <v>142</v>
      </c>
      <c r="C161" s="51"/>
      <c r="D161" s="50">
        <f>D159-D160</f>
        <v>10.75</v>
      </c>
      <c r="E161" t="s">
        <v>142</v>
      </c>
      <c r="F161" s="51"/>
      <c r="G161" s="50">
        <f>G159-G160</f>
        <v>10.75</v>
      </c>
      <c r="H161" t="s">
        <v>142</v>
      </c>
      <c r="I161" s="51"/>
      <c r="J161" s="50">
        <f>J159-J160</f>
        <v>10.75</v>
      </c>
      <c r="K161" t="s">
        <v>142</v>
      </c>
      <c r="L161" s="51"/>
      <c r="M161" s="50">
        <f>M159-M160</f>
        <v>10.75</v>
      </c>
      <c r="N161" t="s">
        <v>142</v>
      </c>
      <c r="O161" s="51"/>
    </row>
    <row r="162" spans="1:15" ht="15.75" thickBot="1" x14ac:dyDescent="0.3">
      <c r="A162" s="52">
        <v>0</v>
      </c>
      <c r="B162" s="53"/>
      <c r="C162" s="54"/>
      <c r="D162" s="52">
        <v>0</v>
      </c>
      <c r="E162" s="53"/>
      <c r="F162" s="54"/>
      <c r="G162" s="52">
        <v>0</v>
      </c>
      <c r="H162" s="53"/>
      <c r="I162" s="54"/>
      <c r="J162" s="52">
        <v>0</v>
      </c>
      <c r="K162" s="53"/>
      <c r="L162" s="54"/>
      <c r="M162" s="52">
        <v>0</v>
      </c>
      <c r="N162" s="53"/>
      <c r="O162" s="54"/>
    </row>
    <row r="163" spans="1:15" ht="13.5" thickBot="1" x14ac:dyDescent="0.25"/>
    <row r="164" spans="1:15" ht="15.75" thickBot="1" x14ac:dyDescent="0.3">
      <c r="A164" s="55" t="s">
        <v>150</v>
      </c>
      <c r="B164" s="56"/>
      <c r="C164" s="57">
        <f>A154+D154+G154+J154+M152+A162+D162+G162+J162+M162</f>
        <v>7.8</v>
      </c>
    </row>
    <row r="166" spans="1:15" x14ac:dyDescent="0.2">
      <c r="E166" t="s">
        <v>148</v>
      </c>
      <c r="G166">
        <v>0.45</v>
      </c>
    </row>
    <row r="167" spans="1:15" x14ac:dyDescent="0.2">
      <c r="E167" t="s">
        <v>149</v>
      </c>
      <c r="G167">
        <v>0.15</v>
      </c>
    </row>
    <row r="168" spans="1:15" ht="13.5" thickBot="1" x14ac:dyDescent="0.25"/>
    <row r="169" spans="1:15" x14ac:dyDescent="0.2">
      <c r="A169" s="735" t="s">
        <v>135</v>
      </c>
      <c r="B169" s="736"/>
      <c r="C169" s="737"/>
      <c r="D169" s="735" t="s">
        <v>136</v>
      </c>
      <c r="E169" s="736"/>
      <c r="F169" s="737"/>
      <c r="G169" s="735" t="s">
        <v>137</v>
      </c>
      <c r="H169" s="736"/>
      <c r="I169" s="737"/>
      <c r="J169" s="735" t="s">
        <v>138</v>
      </c>
      <c r="K169" s="736"/>
      <c r="L169" s="737"/>
      <c r="M169" s="735" t="s">
        <v>139</v>
      </c>
      <c r="N169" s="736"/>
      <c r="O169" s="737"/>
    </row>
    <row r="170" spans="1:15" x14ac:dyDescent="0.2">
      <c r="A170" s="50" t="s">
        <v>140</v>
      </c>
      <c r="C170" s="51"/>
      <c r="D170" s="50" t="s">
        <v>140</v>
      </c>
      <c r="F170" s="51"/>
      <c r="G170" s="50" t="s">
        <v>140</v>
      </c>
      <c r="I170" s="51"/>
      <c r="J170" s="50" t="s">
        <v>140</v>
      </c>
      <c r="L170" s="51"/>
      <c r="M170" s="50" t="s">
        <v>140</v>
      </c>
      <c r="O170" s="51"/>
    </row>
    <row r="171" spans="1:15" x14ac:dyDescent="0.2">
      <c r="A171" s="61">
        <v>10.08</v>
      </c>
      <c r="C171" s="51"/>
      <c r="D171" s="50">
        <v>10.8</v>
      </c>
      <c r="F171" s="51"/>
      <c r="G171" s="50">
        <v>9.85</v>
      </c>
      <c r="I171" s="51"/>
      <c r="J171" s="50">
        <v>3.7</v>
      </c>
      <c r="L171" s="51"/>
      <c r="M171" s="50">
        <v>10.1</v>
      </c>
      <c r="O171" s="51"/>
    </row>
    <row r="172" spans="1:15" x14ac:dyDescent="0.2">
      <c r="A172" s="50">
        <v>0.05</v>
      </c>
      <c r="B172" t="s">
        <v>141</v>
      </c>
      <c r="C172" s="51"/>
      <c r="D172" s="50">
        <v>0.05</v>
      </c>
      <c r="E172" t="s">
        <v>141</v>
      </c>
      <c r="F172" s="51"/>
      <c r="G172" s="50">
        <v>0.05</v>
      </c>
      <c r="H172" t="s">
        <v>141</v>
      </c>
      <c r="I172" s="51"/>
      <c r="J172" s="50">
        <v>0.05</v>
      </c>
      <c r="K172" t="s">
        <v>141</v>
      </c>
      <c r="L172" s="51"/>
      <c r="M172" s="50">
        <v>0.05</v>
      </c>
      <c r="N172" t="s">
        <v>141</v>
      </c>
      <c r="O172" s="51"/>
    </row>
    <row r="173" spans="1:15" x14ac:dyDescent="0.2">
      <c r="A173" s="50">
        <f>A171-A172</f>
        <v>10.029999999999999</v>
      </c>
      <c r="B173" t="s">
        <v>142</v>
      </c>
      <c r="C173" s="51"/>
      <c r="D173" s="50">
        <f>D171-D172</f>
        <v>10.75</v>
      </c>
      <c r="E173" t="s">
        <v>142</v>
      </c>
      <c r="F173" s="51"/>
      <c r="G173" s="50">
        <f>G171-G172</f>
        <v>9.7999999999999989</v>
      </c>
      <c r="H173" t="s">
        <v>142</v>
      </c>
      <c r="I173" s="51"/>
      <c r="J173" s="50">
        <f>J171-J172</f>
        <v>3.6500000000000004</v>
      </c>
      <c r="K173" t="s">
        <v>142</v>
      </c>
      <c r="L173" s="51"/>
      <c r="M173" s="50">
        <f>M171-M172</f>
        <v>10.049999999999999</v>
      </c>
      <c r="N173" t="s">
        <v>142</v>
      </c>
      <c r="O173" s="51"/>
    </row>
    <row r="174" spans="1:15" ht="15.75" thickBot="1" x14ac:dyDescent="0.3">
      <c r="A174" s="52">
        <f>ROUND(A173+G166+G167,1)</f>
        <v>10.6</v>
      </c>
      <c r="B174" s="53"/>
      <c r="C174" s="54"/>
      <c r="D174" s="52">
        <f>ROUND(D173+G167+G166,1)</f>
        <v>11.4</v>
      </c>
      <c r="E174" s="53"/>
      <c r="F174" s="54"/>
      <c r="G174" s="52">
        <f>ROUND(G173+G167+G166,1)</f>
        <v>10.4</v>
      </c>
      <c r="H174" s="53"/>
      <c r="I174" s="54"/>
      <c r="J174" s="52">
        <f>ROUND(J173+G167,1)</f>
        <v>3.8</v>
      </c>
      <c r="K174" s="53"/>
      <c r="L174" s="54"/>
      <c r="M174" s="52">
        <v>0</v>
      </c>
      <c r="N174" s="53"/>
      <c r="O174" s="54"/>
    </row>
    <row r="175" spans="1:15" x14ac:dyDescent="0.2">
      <c r="A175" s="60">
        <v>1</v>
      </c>
      <c r="B175" s="58" t="s">
        <v>151</v>
      </c>
      <c r="D175" s="60">
        <v>4</v>
      </c>
      <c r="E175" s="58" t="s">
        <v>151</v>
      </c>
      <c r="G175" s="60">
        <v>1</v>
      </c>
      <c r="H175" s="58" t="s">
        <v>151</v>
      </c>
      <c r="J175" s="60">
        <v>1</v>
      </c>
      <c r="K175" s="58" t="s">
        <v>151</v>
      </c>
    </row>
    <row r="176" spans="1:15" x14ac:dyDescent="0.2">
      <c r="A176" s="59">
        <f>A174*A175</f>
        <v>10.6</v>
      </c>
      <c r="B176" s="59" t="s">
        <v>152</v>
      </c>
      <c r="D176" s="59">
        <f>D174*D175</f>
        <v>45.6</v>
      </c>
      <c r="E176" s="59" t="s">
        <v>152</v>
      </c>
      <c r="G176" s="59">
        <f>G174*G175</f>
        <v>10.4</v>
      </c>
      <c r="H176" s="59" t="s">
        <v>152</v>
      </c>
      <c r="J176" s="59">
        <f>J174*J175</f>
        <v>3.8</v>
      </c>
      <c r="K176" s="59" t="s">
        <v>152</v>
      </c>
    </row>
    <row r="177" spans="1:15" x14ac:dyDescent="0.2">
      <c r="A177" s="59"/>
      <c r="B177" s="59"/>
    </row>
    <row r="178" spans="1:15" ht="13.5" thickBot="1" x14ac:dyDescent="0.25"/>
    <row r="179" spans="1:15" x14ac:dyDescent="0.2">
      <c r="A179" s="735" t="s">
        <v>143</v>
      </c>
      <c r="B179" s="736"/>
      <c r="C179" s="737"/>
      <c r="D179" s="735" t="s">
        <v>144</v>
      </c>
      <c r="E179" s="736"/>
      <c r="F179" s="737"/>
      <c r="G179" s="735" t="s">
        <v>145</v>
      </c>
      <c r="H179" s="736"/>
      <c r="I179" s="737"/>
      <c r="J179" s="735" t="s">
        <v>146</v>
      </c>
      <c r="K179" s="736"/>
      <c r="L179" s="737"/>
      <c r="M179" s="735" t="s">
        <v>147</v>
      </c>
      <c r="N179" s="736"/>
      <c r="O179" s="737"/>
    </row>
    <row r="180" spans="1:15" x14ac:dyDescent="0.2">
      <c r="A180" s="50" t="s">
        <v>140</v>
      </c>
      <c r="C180" s="51"/>
      <c r="D180" s="50" t="s">
        <v>140</v>
      </c>
      <c r="F180" s="51"/>
      <c r="G180" s="50" t="s">
        <v>140</v>
      </c>
      <c r="I180" s="51"/>
      <c r="J180" s="50" t="s">
        <v>140</v>
      </c>
      <c r="L180" s="51"/>
      <c r="M180" s="50" t="s">
        <v>140</v>
      </c>
      <c r="O180" s="51"/>
    </row>
    <row r="181" spans="1:15" x14ac:dyDescent="0.2">
      <c r="A181" s="50">
        <v>10.62</v>
      </c>
      <c r="C181" s="51"/>
      <c r="D181" s="50">
        <v>10.8</v>
      </c>
      <c r="F181" s="51"/>
      <c r="G181" s="50">
        <v>10.8</v>
      </c>
      <c r="I181" s="51"/>
      <c r="J181" s="50">
        <v>10.8</v>
      </c>
      <c r="L181" s="51"/>
      <c r="M181" s="50">
        <v>10.8</v>
      </c>
      <c r="O181" s="51"/>
    </row>
    <row r="182" spans="1:15" x14ac:dyDescent="0.2">
      <c r="A182" s="50">
        <v>0.05</v>
      </c>
      <c r="B182" t="s">
        <v>141</v>
      </c>
      <c r="C182" s="51"/>
      <c r="D182" s="50">
        <v>0.05</v>
      </c>
      <c r="E182" t="s">
        <v>141</v>
      </c>
      <c r="F182" s="51"/>
      <c r="G182" s="50">
        <v>0.05</v>
      </c>
      <c r="H182" t="s">
        <v>141</v>
      </c>
      <c r="I182" s="51"/>
      <c r="J182" s="50">
        <v>0.05</v>
      </c>
      <c r="K182" t="s">
        <v>141</v>
      </c>
      <c r="L182" s="51"/>
      <c r="M182" s="50">
        <v>0.05</v>
      </c>
      <c r="N182" t="s">
        <v>141</v>
      </c>
      <c r="O182" s="51"/>
    </row>
    <row r="183" spans="1:15" x14ac:dyDescent="0.2">
      <c r="A183" s="50">
        <f>A181-A182</f>
        <v>10.569999999999999</v>
      </c>
      <c r="B183" t="s">
        <v>142</v>
      </c>
      <c r="C183" s="51"/>
      <c r="D183" s="50">
        <f>D181-D182</f>
        <v>10.75</v>
      </c>
      <c r="E183" t="s">
        <v>142</v>
      </c>
      <c r="F183" s="51"/>
      <c r="G183" s="50">
        <f>G181-G182</f>
        <v>10.75</v>
      </c>
      <c r="H183" t="s">
        <v>142</v>
      </c>
      <c r="I183" s="51"/>
      <c r="J183" s="50">
        <f>J181-J182</f>
        <v>10.75</v>
      </c>
      <c r="K183" t="s">
        <v>142</v>
      </c>
      <c r="L183" s="51"/>
      <c r="M183" s="50">
        <f>M181-M182</f>
        <v>10.75</v>
      </c>
      <c r="N183" t="s">
        <v>142</v>
      </c>
      <c r="O183" s="51"/>
    </row>
    <row r="184" spans="1:15" ht="15.75" thickBot="1" x14ac:dyDescent="0.3">
      <c r="A184" s="52">
        <v>0</v>
      </c>
      <c r="B184" s="53"/>
      <c r="C184" s="54"/>
      <c r="D184" s="52">
        <v>0</v>
      </c>
      <c r="E184" s="53"/>
      <c r="F184" s="54"/>
      <c r="G184" s="52">
        <v>0</v>
      </c>
      <c r="H184" s="53"/>
      <c r="I184" s="54"/>
      <c r="J184" s="52">
        <v>0</v>
      </c>
      <c r="K184" s="53"/>
      <c r="L184" s="54"/>
      <c r="M184" s="52">
        <v>0</v>
      </c>
      <c r="N184" s="53"/>
      <c r="O184" s="54"/>
    </row>
    <row r="185" spans="1:15" ht="13.5" thickBot="1" x14ac:dyDescent="0.25"/>
    <row r="186" spans="1:15" ht="15.75" thickBot="1" x14ac:dyDescent="0.3">
      <c r="A186" s="55" t="s">
        <v>150</v>
      </c>
      <c r="B186" s="56"/>
      <c r="C186" s="57">
        <f>A176+D176+G176+J176+M174+A184+D184+G184+J184+M184</f>
        <v>70.400000000000006</v>
      </c>
    </row>
    <row r="189" spans="1:15" x14ac:dyDescent="0.2">
      <c r="E189" t="s">
        <v>148</v>
      </c>
      <c r="G189">
        <v>0.45</v>
      </c>
    </row>
    <row r="190" spans="1:15" x14ac:dyDescent="0.2">
      <c r="E190" t="s">
        <v>149</v>
      </c>
      <c r="G190">
        <v>0.15</v>
      </c>
    </row>
    <row r="191" spans="1:15" ht="13.5" thickBot="1" x14ac:dyDescent="0.25"/>
    <row r="192" spans="1:15" x14ac:dyDescent="0.2">
      <c r="A192" s="735" t="s">
        <v>135</v>
      </c>
      <c r="B192" s="736"/>
      <c r="C192" s="737"/>
      <c r="D192" s="735" t="s">
        <v>136</v>
      </c>
      <c r="E192" s="736"/>
      <c r="F192" s="737"/>
      <c r="G192" s="735" t="s">
        <v>137</v>
      </c>
      <c r="H192" s="736"/>
      <c r="I192" s="737"/>
      <c r="J192" s="735" t="s">
        <v>138</v>
      </c>
      <c r="K192" s="736"/>
      <c r="L192" s="737"/>
      <c r="M192" s="735" t="s">
        <v>139</v>
      </c>
      <c r="N192" s="736"/>
      <c r="O192" s="737"/>
    </row>
    <row r="193" spans="1:15" x14ac:dyDescent="0.2">
      <c r="A193" s="50" t="s">
        <v>140</v>
      </c>
      <c r="C193" s="51"/>
      <c r="D193" s="50" t="s">
        <v>140</v>
      </c>
      <c r="F193" s="51"/>
      <c r="G193" s="50" t="s">
        <v>140</v>
      </c>
      <c r="I193" s="51"/>
      <c r="J193" s="50" t="s">
        <v>140</v>
      </c>
      <c r="L193" s="51"/>
      <c r="M193" s="50" t="s">
        <v>140</v>
      </c>
      <c r="O193" s="51"/>
    </row>
    <row r="194" spans="1:15" x14ac:dyDescent="0.2">
      <c r="A194" s="61">
        <v>10.8</v>
      </c>
      <c r="C194" s="51"/>
      <c r="D194" s="50">
        <v>7.17</v>
      </c>
      <c r="F194" s="51"/>
      <c r="G194" s="50">
        <v>9.36</v>
      </c>
      <c r="I194" s="51"/>
      <c r="J194" s="50">
        <v>6.49</v>
      </c>
      <c r="L194" s="51"/>
      <c r="M194" s="50">
        <v>10.1</v>
      </c>
      <c r="O194" s="51"/>
    </row>
    <row r="195" spans="1:15" x14ac:dyDescent="0.2">
      <c r="A195" s="50">
        <v>0.05</v>
      </c>
      <c r="B195" t="s">
        <v>141</v>
      </c>
      <c r="C195" s="51"/>
      <c r="D195" s="50">
        <v>0.05</v>
      </c>
      <c r="E195" t="s">
        <v>141</v>
      </c>
      <c r="F195" s="51"/>
      <c r="G195" s="50">
        <v>0.05</v>
      </c>
      <c r="H195" t="s">
        <v>141</v>
      </c>
      <c r="I195" s="51"/>
      <c r="J195" s="50">
        <v>0.05</v>
      </c>
      <c r="K195" t="s">
        <v>141</v>
      </c>
      <c r="L195" s="51"/>
      <c r="M195" s="50">
        <v>0.05</v>
      </c>
      <c r="N195" t="s">
        <v>141</v>
      </c>
      <c r="O195" s="51"/>
    </row>
    <row r="196" spans="1:15" x14ac:dyDescent="0.2">
      <c r="A196" s="50">
        <f>A194-A195</f>
        <v>10.75</v>
      </c>
      <c r="B196" t="s">
        <v>142</v>
      </c>
      <c r="C196" s="51"/>
      <c r="D196" s="50">
        <f>D194-D195</f>
        <v>7.12</v>
      </c>
      <c r="E196" t="s">
        <v>142</v>
      </c>
      <c r="F196" s="51"/>
      <c r="G196" s="50">
        <f>G194-G195</f>
        <v>9.3099999999999987</v>
      </c>
      <c r="H196" t="s">
        <v>142</v>
      </c>
      <c r="I196" s="51"/>
      <c r="J196" s="50">
        <f>J194-J195</f>
        <v>6.44</v>
      </c>
      <c r="K196" t="s">
        <v>142</v>
      </c>
      <c r="L196" s="51"/>
      <c r="M196" s="50">
        <f>M194-M195</f>
        <v>10.049999999999999</v>
      </c>
      <c r="N196" t="s">
        <v>142</v>
      </c>
      <c r="O196" s="51"/>
    </row>
    <row r="197" spans="1:15" ht="15.75" thickBot="1" x14ac:dyDescent="0.3">
      <c r="A197" s="52">
        <f>ROUND(A196+G189+G190,1)</f>
        <v>11.4</v>
      </c>
      <c r="B197" s="53"/>
      <c r="C197" s="54"/>
      <c r="D197" s="52">
        <f>ROUND(D196+G190,1)</f>
        <v>7.3</v>
      </c>
      <c r="E197" s="53"/>
      <c r="F197" s="54"/>
      <c r="G197" s="52">
        <f>ROUND(G196+G190+G189,1)</f>
        <v>9.9</v>
      </c>
      <c r="H197" s="53"/>
      <c r="I197" s="54"/>
      <c r="J197" s="52">
        <f>ROUND(J196+G190,1)</f>
        <v>6.6</v>
      </c>
      <c r="K197" s="53"/>
      <c r="L197" s="54"/>
      <c r="M197" s="52">
        <v>0</v>
      </c>
      <c r="N197" s="53"/>
      <c r="O197" s="54"/>
    </row>
    <row r="198" spans="1:15" x14ac:dyDescent="0.2">
      <c r="A198" s="60">
        <v>11</v>
      </c>
      <c r="B198" s="58" t="s">
        <v>151</v>
      </c>
      <c r="D198" s="60">
        <v>1</v>
      </c>
      <c r="E198" s="58" t="s">
        <v>151</v>
      </c>
      <c r="G198" s="60">
        <v>1</v>
      </c>
      <c r="H198" s="58" t="s">
        <v>151</v>
      </c>
      <c r="J198" s="60">
        <v>1</v>
      </c>
      <c r="K198" s="58" t="s">
        <v>151</v>
      </c>
    </row>
    <row r="199" spans="1:15" x14ac:dyDescent="0.2">
      <c r="A199" s="59">
        <f>A197*A198</f>
        <v>125.4</v>
      </c>
      <c r="B199" s="59" t="s">
        <v>152</v>
      </c>
      <c r="D199" s="59">
        <f>D197*D198</f>
        <v>7.3</v>
      </c>
      <c r="E199" s="59" t="s">
        <v>152</v>
      </c>
      <c r="G199" s="59">
        <f>G197*G198</f>
        <v>9.9</v>
      </c>
      <c r="H199" s="59" t="s">
        <v>152</v>
      </c>
      <c r="J199" s="59">
        <f>J197*J198</f>
        <v>6.6</v>
      </c>
      <c r="K199" s="59" t="s">
        <v>152</v>
      </c>
    </row>
    <row r="200" spans="1:15" x14ac:dyDescent="0.2">
      <c r="A200" s="59"/>
      <c r="B200" s="59"/>
    </row>
    <row r="201" spans="1:15" ht="13.5" thickBot="1" x14ac:dyDescent="0.25"/>
    <row r="202" spans="1:15" x14ac:dyDescent="0.2">
      <c r="A202" s="735" t="s">
        <v>143</v>
      </c>
      <c r="B202" s="736"/>
      <c r="C202" s="737"/>
      <c r="D202" s="735" t="s">
        <v>144</v>
      </c>
      <c r="E202" s="736"/>
      <c r="F202" s="737"/>
      <c r="G202" s="735" t="s">
        <v>145</v>
      </c>
      <c r="H202" s="736"/>
      <c r="I202" s="737"/>
      <c r="J202" s="735" t="s">
        <v>146</v>
      </c>
      <c r="K202" s="736"/>
      <c r="L202" s="737"/>
      <c r="M202" s="735" t="s">
        <v>147</v>
      </c>
      <c r="N202" s="736"/>
      <c r="O202" s="737"/>
    </row>
    <row r="203" spans="1:15" x14ac:dyDescent="0.2">
      <c r="A203" s="50" t="s">
        <v>140</v>
      </c>
      <c r="C203" s="51"/>
      <c r="D203" s="50" t="s">
        <v>140</v>
      </c>
      <c r="F203" s="51"/>
      <c r="G203" s="50" t="s">
        <v>140</v>
      </c>
      <c r="I203" s="51"/>
      <c r="J203" s="50" t="s">
        <v>140</v>
      </c>
      <c r="L203" s="51"/>
      <c r="M203" s="50" t="s">
        <v>140</v>
      </c>
      <c r="O203" s="51"/>
    </row>
    <row r="204" spans="1:15" x14ac:dyDescent="0.2">
      <c r="A204" s="50">
        <v>10.62</v>
      </c>
      <c r="C204" s="51"/>
      <c r="D204" s="50">
        <v>10.8</v>
      </c>
      <c r="F204" s="51"/>
      <c r="G204" s="50">
        <v>10.8</v>
      </c>
      <c r="I204" s="51"/>
      <c r="J204" s="50">
        <v>10.8</v>
      </c>
      <c r="L204" s="51"/>
      <c r="M204" s="50">
        <v>10.8</v>
      </c>
      <c r="O204" s="51"/>
    </row>
    <row r="205" spans="1:15" x14ac:dyDescent="0.2">
      <c r="A205" s="50">
        <v>0.05</v>
      </c>
      <c r="B205" t="s">
        <v>141</v>
      </c>
      <c r="C205" s="51"/>
      <c r="D205" s="50">
        <v>0.05</v>
      </c>
      <c r="E205" t="s">
        <v>141</v>
      </c>
      <c r="F205" s="51"/>
      <c r="G205" s="50">
        <v>0.05</v>
      </c>
      <c r="H205" t="s">
        <v>141</v>
      </c>
      <c r="I205" s="51"/>
      <c r="J205" s="50">
        <v>0.05</v>
      </c>
      <c r="K205" t="s">
        <v>141</v>
      </c>
      <c r="L205" s="51"/>
      <c r="M205" s="50">
        <v>0.05</v>
      </c>
      <c r="N205" t="s">
        <v>141</v>
      </c>
      <c r="O205" s="51"/>
    </row>
    <row r="206" spans="1:15" x14ac:dyDescent="0.2">
      <c r="A206" s="50">
        <f>A204-A205</f>
        <v>10.569999999999999</v>
      </c>
      <c r="B206" t="s">
        <v>142</v>
      </c>
      <c r="C206" s="51"/>
      <c r="D206" s="50">
        <f>D204-D205</f>
        <v>10.75</v>
      </c>
      <c r="E206" t="s">
        <v>142</v>
      </c>
      <c r="F206" s="51"/>
      <c r="G206" s="50">
        <f>G204-G205</f>
        <v>10.75</v>
      </c>
      <c r="H206" t="s">
        <v>142</v>
      </c>
      <c r="I206" s="51"/>
      <c r="J206" s="50">
        <f>J204-J205</f>
        <v>10.75</v>
      </c>
      <c r="K206" t="s">
        <v>142</v>
      </c>
      <c r="L206" s="51"/>
      <c r="M206" s="50">
        <f>M204-M205</f>
        <v>10.75</v>
      </c>
      <c r="N206" t="s">
        <v>142</v>
      </c>
      <c r="O206" s="51"/>
    </row>
    <row r="207" spans="1:15" ht="15.75" thickBot="1" x14ac:dyDescent="0.3">
      <c r="A207" s="52">
        <v>0</v>
      </c>
      <c r="B207" s="53"/>
      <c r="C207" s="54"/>
      <c r="D207" s="52">
        <v>0</v>
      </c>
      <c r="E207" s="53"/>
      <c r="F207" s="54"/>
      <c r="G207" s="52">
        <v>0</v>
      </c>
      <c r="H207" s="53"/>
      <c r="I207" s="54"/>
      <c r="J207" s="52">
        <v>0</v>
      </c>
      <c r="K207" s="53"/>
      <c r="L207" s="54"/>
      <c r="M207" s="52">
        <v>0</v>
      </c>
      <c r="N207" s="53"/>
      <c r="O207" s="54"/>
    </row>
    <row r="208" spans="1:15" ht="13.5" thickBot="1" x14ac:dyDescent="0.25"/>
    <row r="209" spans="1:15" ht="15.75" thickBot="1" x14ac:dyDescent="0.3">
      <c r="A209" s="55" t="s">
        <v>150</v>
      </c>
      <c r="B209" s="56"/>
      <c r="C209" s="57">
        <f>A199+D199+G199+J199+M197+A207+D207+G207+J207+M207</f>
        <v>149.20000000000002</v>
      </c>
    </row>
    <row r="212" spans="1:15" x14ac:dyDescent="0.2">
      <c r="E212" t="s">
        <v>148</v>
      </c>
      <c r="G212">
        <v>0.45</v>
      </c>
    </row>
    <row r="213" spans="1:15" x14ac:dyDescent="0.2">
      <c r="E213" t="s">
        <v>149</v>
      </c>
      <c r="G213">
        <v>0.15</v>
      </c>
    </row>
    <row r="214" spans="1:15" ht="13.5" thickBot="1" x14ac:dyDescent="0.25"/>
    <row r="215" spans="1:15" x14ac:dyDescent="0.2">
      <c r="A215" s="735" t="s">
        <v>135</v>
      </c>
      <c r="B215" s="736"/>
      <c r="C215" s="737"/>
      <c r="D215" s="735" t="s">
        <v>136</v>
      </c>
      <c r="E215" s="736"/>
      <c r="F215" s="737"/>
      <c r="G215" s="735" t="s">
        <v>137</v>
      </c>
      <c r="H215" s="736"/>
      <c r="I215" s="737"/>
      <c r="J215" s="735" t="s">
        <v>138</v>
      </c>
      <c r="K215" s="736"/>
      <c r="L215" s="737"/>
      <c r="M215" s="735" t="s">
        <v>139</v>
      </c>
      <c r="N215" s="736"/>
      <c r="O215" s="737"/>
    </row>
    <row r="216" spans="1:15" x14ac:dyDescent="0.2">
      <c r="A216" s="50" t="s">
        <v>140</v>
      </c>
      <c r="C216" s="51"/>
      <c r="D216" s="50" t="s">
        <v>140</v>
      </c>
      <c r="F216" s="51"/>
      <c r="G216" s="50" t="s">
        <v>140</v>
      </c>
      <c r="I216" s="51"/>
      <c r="J216" s="50" t="s">
        <v>140</v>
      </c>
      <c r="L216" s="51"/>
      <c r="M216" s="50" t="s">
        <v>140</v>
      </c>
      <c r="O216" s="51"/>
    </row>
    <row r="217" spans="1:15" x14ac:dyDescent="0.2">
      <c r="A217" s="61">
        <v>10.8</v>
      </c>
      <c r="C217" s="51"/>
      <c r="D217" s="50">
        <v>9.8000000000000007</v>
      </c>
      <c r="F217" s="51"/>
      <c r="G217" s="50">
        <v>9.36</v>
      </c>
      <c r="I217" s="51"/>
      <c r="J217" s="50">
        <v>6.49</v>
      </c>
      <c r="L217" s="51"/>
      <c r="M217" s="50">
        <v>10.1</v>
      </c>
      <c r="O217" s="51"/>
    </row>
    <row r="218" spans="1:15" x14ac:dyDescent="0.2">
      <c r="A218" s="50">
        <v>0.05</v>
      </c>
      <c r="B218" t="s">
        <v>141</v>
      </c>
      <c r="C218" s="51"/>
      <c r="D218" s="50">
        <v>0.05</v>
      </c>
      <c r="E218" t="s">
        <v>141</v>
      </c>
      <c r="F218" s="51"/>
      <c r="G218" s="50">
        <v>0.05</v>
      </c>
      <c r="H218" t="s">
        <v>141</v>
      </c>
      <c r="I218" s="51"/>
      <c r="J218" s="50">
        <v>0.05</v>
      </c>
      <c r="K218" t="s">
        <v>141</v>
      </c>
      <c r="L218" s="51"/>
      <c r="M218" s="50">
        <v>0.05</v>
      </c>
      <c r="N218" t="s">
        <v>141</v>
      </c>
      <c r="O218" s="51"/>
    </row>
    <row r="219" spans="1:15" x14ac:dyDescent="0.2">
      <c r="A219" s="50">
        <f>A217-A218</f>
        <v>10.75</v>
      </c>
      <c r="B219" t="s">
        <v>142</v>
      </c>
      <c r="C219" s="51"/>
      <c r="D219" s="50">
        <f>D217-D218</f>
        <v>9.75</v>
      </c>
      <c r="E219" t="s">
        <v>142</v>
      </c>
      <c r="F219" s="51"/>
      <c r="G219" s="50">
        <f>G217-G218</f>
        <v>9.3099999999999987</v>
      </c>
      <c r="H219" t="s">
        <v>142</v>
      </c>
      <c r="I219" s="51"/>
      <c r="J219" s="50">
        <f>J217-J218</f>
        <v>6.44</v>
      </c>
      <c r="K219" t="s">
        <v>142</v>
      </c>
      <c r="L219" s="51"/>
      <c r="M219" s="50">
        <f>M217-M218</f>
        <v>10.049999999999999</v>
      </c>
      <c r="N219" t="s">
        <v>142</v>
      </c>
      <c r="O219" s="51"/>
    </row>
    <row r="220" spans="1:15" ht="15.75" thickBot="1" x14ac:dyDescent="0.3">
      <c r="A220" s="52">
        <f>ROUND(A219+G212+G213,1)</f>
        <v>11.4</v>
      </c>
      <c r="B220" s="53"/>
      <c r="C220" s="54"/>
      <c r="D220" s="52">
        <f>ROUND(D219+G213+G212,1)</f>
        <v>10.4</v>
      </c>
      <c r="E220" s="53"/>
      <c r="F220" s="54"/>
      <c r="G220" s="52">
        <v>0</v>
      </c>
      <c r="H220" s="53"/>
      <c r="I220" s="54"/>
      <c r="J220" s="52">
        <v>0</v>
      </c>
      <c r="K220" s="53"/>
      <c r="L220" s="54"/>
      <c r="M220" s="52">
        <v>0</v>
      </c>
      <c r="N220" s="53"/>
      <c r="O220" s="54"/>
    </row>
    <row r="221" spans="1:15" x14ac:dyDescent="0.2">
      <c r="A221" s="60">
        <v>1</v>
      </c>
      <c r="B221" s="58" t="s">
        <v>151</v>
      </c>
      <c r="D221" s="60">
        <v>1</v>
      </c>
      <c r="E221" s="58" t="s">
        <v>151</v>
      </c>
      <c r="G221" s="60">
        <v>1</v>
      </c>
      <c r="H221" s="58" t="s">
        <v>151</v>
      </c>
      <c r="J221" s="60">
        <v>1</v>
      </c>
      <c r="K221" s="58" t="s">
        <v>151</v>
      </c>
    </row>
    <row r="222" spans="1:15" x14ac:dyDescent="0.2">
      <c r="A222" s="59">
        <f>A220*A221</f>
        <v>11.4</v>
      </c>
      <c r="B222" s="59" t="s">
        <v>152</v>
      </c>
      <c r="D222" s="59">
        <f>D220*D221</f>
        <v>10.4</v>
      </c>
      <c r="E222" s="59" t="s">
        <v>152</v>
      </c>
      <c r="G222" s="59">
        <f>G220*G221</f>
        <v>0</v>
      </c>
      <c r="H222" s="59" t="s">
        <v>152</v>
      </c>
      <c r="J222" s="59">
        <f>J220*J221</f>
        <v>0</v>
      </c>
      <c r="K222" s="59" t="s">
        <v>152</v>
      </c>
    </row>
    <row r="223" spans="1:15" x14ac:dyDescent="0.2">
      <c r="A223" s="59"/>
      <c r="B223" s="59"/>
    </row>
    <row r="224" spans="1:15" ht="13.5" thickBot="1" x14ac:dyDescent="0.25"/>
    <row r="225" spans="1:15" x14ac:dyDescent="0.2">
      <c r="A225" s="735" t="s">
        <v>143</v>
      </c>
      <c r="B225" s="736"/>
      <c r="C225" s="737"/>
      <c r="D225" s="735" t="s">
        <v>144</v>
      </c>
      <c r="E225" s="736"/>
      <c r="F225" s="737"/>
      <c r="G225" s="735" t="s">
        <v>145</v>
      </c>
      <c r="H225" s="736"/>
      <c r="I225" s="737"/>
      <c r="J225" s="735" t="s">
        <v>146</v>
      </c>
      <c r="K225" s="736"/>
      <c r="L225" s="737"/>
      <c r="M225" s="735" t="s">
        <v>147</v>
      </c>
      <c r="N225" s="736"/>
      <c r="O225" s="737"/>
    </row>
    <row r="226" spans="1:15" x14ac:dyDescent="0.2">
      <c r="A226" s="50" t="s">
        <v>140</v>
      </c>
      <c r="C226" s="51"/>
      <c r="D226" s="50" t="s">
        <v>140</v>
      </c>
      <c r="F226" s="51"/>
      <c r="G226" s="50" t="s">
        <v>140</v>
      </c>
      <c r="I226" s="51"/>
      <c r="J226" s="50" t="s">
        <v>140</v>
      </c>
      <c r="L226" s="51"/>
      <c r="M226" s="50" t="s">
        <v>140</v>
      </c>
      <c r="O226" s="51"/>
    </row>
    <row r="227" spans="1:15" x14ac:dyDescent="0.2">
      <c r="A227" s="50">
        <v>10.62</v>
      </c>
      <c r="C227" s="51"/>
      <c r="D227" s="50">
        <v>10.8</v>
      </c>
      <c r="F227" s="51"/>
      <c r="G227" s="50">
        <v>10.8</v>
      </c>
      <c r="I227" s="51"/>
      <c r="J227" s="50">
        <v>10.8</v>
      </c>
      <c r="L227" s="51"/>
      <c r="M227" s="50">
        <v>10.8</v>
      </c>
      <c r="O227" s="51"/>
    </row>
    <row r="228" spans="1:15" x14ac:dyDescent="0.2">
      <c r="A228" s="50">
        <v>0.05</v>
      </c>
      <c r="B228" t="s">
        <v>141</v>
      </c>
      <c r="C228" s="51"/>
      <c r="D228" s="50">
        <v>0.05</v>
      </c>
      <c r="E228" t="s">
        <v>141</v>
      </c>
      <c r="F228" s="51"/>
      <c r="G228" s="50">
        <v>0.05</v>
      </c>
      <c r="H228" t="s">
        <v>141</v>
      </c>
      <c r="I228" s="51"/>
      <c r="J228" s="50">
        <v>0.05</v>
      </c>
      <c r="K228" t="s">
        <v>141</v>
      </c>
      <c r="L228" s="51"/>
      <c r="M228" s="50">
        <v>0.05</v>
      </c>
      <c r="N228" t="s">
        <v>141</v>
      </c>
      <c r="O228" s="51"/>
    </row>
    <row r="229" spans="1:15" x14ac:dyDescent="0.2">
      <c r="A229" s="50">
        <f>A227-A228</f>
        <v>10.569999999999999</v>
      </c>
      <c r="B229" t="s">
        <v>142</v>
      </c>
      <c r="C229" s="51"/>
      <c r="D229" s="50">
        <f>D227-D228</f>
        <v>10.75</v>
      </c>
      <c r="E229" t="s">
        <v>142</v>
      </c>
      <c r="F229" s="51"/>
      <c r="G229" s="50">
        <f>G227-G228</f>
        <v>10.75</v>
      </c>
      <c r="H229" t="s">
        <v>142</v>
      </c>
      <c r="I229" s="51"/>
      <c r="J229" s="50">
        <f>J227-J228</f>
        <v>10.75</v>
      </c>
      <c r="K229" t="s">
        <v>142</v>
      </c>
      <c r="L229" s="51"/>
      <c r="M229" s="50">
        <f>M227-M228</f>
        <v>10.75</v>
      </c>
      <c r="N229" t="s">
        <v>142</v>
      </c>
      <c r="O229" s="51"/>
    </row>
    <row r="230" spans="1:15" ht="15.75" thickBot="1" x14ac:dyDescent="0.3">
      <c r="A230" s="52">
        <v>0</v>
      </c>
      <c r="B230" s="53"/>
      <c r="C230" s="54"/>
      <c r="D230" s="52">
        <v>0</v>
      </c>
      <c r="E230" s="53"/>
      <c r="F230" s="54"/>
      <c r="G230" s="52">
        <v>0</v>
      </c>
      <c r="H230" s="53"/>
      <c r="I230" s="54"/>
      <c r="J230" s="52">
        <v>0</v>
      </c>
      <c r="K230" s="53"/>
      <c r="L230" s="54"/>
      <c r="M230" s="52">
        <v>0</v>
      </c>
      <c r="N230" s="53"/>
      <c r="O230" s="54"/>
    </row>
    <row r="231" spans="1:15" ht="13.5" thickBot="1" x14ac:dyDescent="0.25"/>
    <row r="232" spans="1:15" ht="15.75" thickBot="1" x14ac:dyDescent="0.3">
      <c r="A232" s="55" t="s">
        <v>150</v>
      </c>
      <c r="B232" s="56"/>
      <c r="C232" s="57">
        <f>A222+D222+G222+J222+M220+A230+D230+G230+J230+M230</f>
        <v>21.8</v>
      </c>
    </row>
  </sheetData>
  <mergeCells count="110">
    <mergeCell ref="A225:C225"/>
    <mergeCell ref="D225:F225"/>
    <mergeCell ref="G225:I225"/>
    <mergeCell ref="J225:L225"/>
    <mergeCell ref="M225:O225"/>
    <mergeCell ref="A215:C215"/>
    <mergeCell ref="D215:F215"/>
    <mergeCell ref="G215:I215"/>
    <mergeCell ref="J215:L215"/>
    <mergeCell ref="M215:O215"/>
    <mergeCell ref="A202:C202"/>
    <mergeCell ref="D202:F202"/>
    <mergeCell ref="G202:I202"/>
    <mergeCell ref="J202:L202"/>
    <mergeCell ref="M202:O202"/>
    <mergeCell ref="A192:C192"/>
    <mergeCell ref="D192:F192"/>
    <mergeCell ref="G192:I192"/>
    <mergeCell ref="J192:L192"/>
    <mergeCell ref="M192:O192"/>
    <mergeCell ref="A179:C179"/>
    <mergeCell ref="D179:F179"/>
    <mergeCell ref="G179:I179"/>
    <mergeCell ref="J179:L179"/>
    <mergeCell ref="M179:O179"/>
    <mergeCell ref="A169:C169"/>
    <mergeCell ref="D169:F169"/>
    <mergeCell ref="G169:I169"/>
    <mergeCell ref="J169:L169"/>
    <mergeCell ref="M169:O169"/>
    <mergeCell ref="A157:C157"/>
    <mergeCell ref="D157:F157"/>
    <mergeCell ref="G157:I157"/>
    <mergeCell ref="J157:L157"/>
    <mergeCell ref="M157:O157"/>
    <mergeCell ref="A147:C147"/>
    <mergeCell ref="D147:F147"/>
    <mergeCell ref="G147:I147"/>
    <mergeCell ref="J147:L147"/>
    <mergeCell ref="M147:O147"/>
    <mergeCell ref="A134:C134"/>
    <mergeCell ref="D134:F134"/>
    <mergeCell ref="G134:I134"/>
    <mergeCell ref="J134:L134"/>
    <mergeCell ref="M134:O134"/>
    <mergeCell ref="A124:C124"/>
    <mergeCell ref="D124:F124"/>
    <mergeCell ref="G124:I124"/>
    <mergeCell ref="J124:L124"/>
    <mergeCell ref="M124:O124"/>
    <mergeCell ref="A112:C112"/>
    <mergeCell ref="D112:F112"/>
    <mergeCell ref="G112:I112"/>
    <mergeCell ref="J112:L112"/>
    <mergeCell ref="M112:O112"/>
    <mergeCell ref="A102:C102"/>
    <mergeCell ref="D102:F102"/>
    <mergeCell ref="G102:I102"/>
    <mergeCell ref="J102:L102"/>
    <mergeCell ref="M102:O102"/>
    <mergeCell ref="A89:C89"/>
    <mergeCell ref="D89:F89"/>
    <mergeCell ref="G89:I89"/>
    <mergeCell ref="J89:L89"/>
    <mergeCell ref="M89:O89"/>
    <mergeCell ref="A82:C82"/>
    <mergeCell ref="D82:F82"/>
    <mergeCell ref="G82:I82"/>
    <mergeCell ref="J82:L82"/>
    <mergeCell ref="M82:O82"/>
    <mergeCell ref="A70:C70"/>
    <mergeCell ref="D70:F70"/>
    <mergeCell ref="G70:I70"/>
    <mergeCell ref="J70:L70"/>
    <mergeCell ref="M70:O70"/>
    <mergeCell ref="A63:C63"/>
    <mergeCell ref="D63:F63"/>
    <mergeCell ref="G63:I63"/>
    <mergeCell ref="J63:L63"/>
    <mergeCell ref="M63:O63"/>
    <mergeCell ref="A50:C50"/>
    <mergeCell ref="D50:F50"/>
    <mergeCell ref="G50:I50"/>
    <mergeCell ref="J50:L50"/>
    <mergeCell ref="M50:O50"/>
    <mergeCell ref="A43:C43"/>
    <mergeCell ref="D43:F43"/>
    <mergeCell ref="G43:I43"/>
    <mergeCell ref="J43:L43"/>
    <mergeCell ref="M43:O43"/>
    <mergeCell ref="A23:C23"/>
    <mergeCell ref="D23:F23"/>
    <mergeCell ref="G23:I23"/>
    <mergeCell ref="J23:L23"/>
    <mergeCell ref="M23:O23"/>
    <mergeCell ref="A30:C30"/>
    <mergeCell ref="D30:F30"/>
    <mergeCell ref="G30:I30"/>
    <mergeCell ref="J30:L30"/>
    <mergeCell ref="M30:O30"/>
    <mergeCell ref="A4:C4"/>
    <mergeCell ref="D4:F4"/>
    <mergeCell ref="G4:I4"/>
    <mergeCell ref="J4:L4"/>
    <mergeCell ref="M4:O4"/>
    <mergeCell ref="A11:C11"/>
    <mergeCell ref="D11:F11"/>
    <mergeCell ref="G11:I11"/>
    <mergeCell ref="J11:L11"/>
    <mergeCell ref="M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RESUMEN DE MET.</vt:lpstr>
      <vt:lpstr>Metrado General - Arcaya</vt:lpstr>
      <vt:lpstr>Hoja1</vt:lpstr>
      <vt:lpstr>'Metrado General - Arcaya'!Área_de_impresión</vt:lpstr>
      <vt:lpstr>'RESUMEN DE MET.'!Área_de_impresión</vt:lpstr>
      <vt:lpstr>'Metrado General - Arcaya'!Títulos_a_imprimir</vt:lpstr>
      <vt:lpstr>'RESUMEN DE MET.'!Títulos_a_imprimir</vt:lpstr>
    </vt:vector>
  </TitlesOfParts>
  <Company>CELERON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PENTIUM</dc:creator>
  <cp:lastModifiedBy>MIGUEL</cp:lastModifiedBy>
  <cp:lastPrinted>2021-11-30T22:49:59Z</cp:lastPrinted>
  <dcterms:created xsi:type="dcterms:W3CDTF">2001-10-22T10:42:35Z</dcterms:created>
  <dcterms:modified xsi:type="dcterms:W3CDTF">2021-12-01T23:33:34Z</dcterms:modified>
</cp:coreProperties>
</file>